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P:\Engenharia\23 - ORLANDO\03-DESENVOLVIMENTO DE PLANILHAS\GÁS\"/>
    </mc:Choice>
  </mc:AlternateContent>
  <xr:revisionPtr revIDLastSave="0" documentId="13_ncr:1_{031340C3-BDB4-44ED-972D-F0937FEF4351}" xr6:coauthVersionLast="47" xr6:coauthVersionMax="47" xr10:uidLastSave="{00000000-0000-0000-0000-000000000000}"/>
  <bookViews>
    <workbookView xWindow="28680" yWindow="-2055" windowWidth="29040" windowHeight="15720" tabRatio="858" xr2:uid="{763B0E4F-5F45-48B8-A0F0-E8C839178ACE}"/>
  </bookViews>
  <sheets>
    <sheet name="GÁS" sheetId="3" r:id="rId1"/>
    <sheet name="DIMENSIONADOR - GN" sheetId="11" r:id="rId2"/>
    <sheet name="DIMENSIONADOR - GLP" sheetId="12" r:id="rId3"/>
    <sheet name="DADOS" sheetId="2" state="veryHidden" r:id="rId4"/>
    <sheet name="REFERÊNCIA" sheetId="9" r:id="rId5"/>
    <sheet name="AJUDA" sheetId="5" r:id="rId6"/>
  </sheets>
  <definedNames>
    <definedName name="CONSUMO" localSheetId="2">'DIMENSIONADOR - GLP'!#REF!</definedName>
    <definedName name="CONSUMO">'DIMENSIONADOR - GN'!$D$74:$I$113</definedName>
    <definedName name="TRECHO_PARCIAL" comment="SIBOLOGIA DE CADA TREHO" localSheetId="2">'DIMENSIONADOR - GLP'!$B$11</definedName>
    <definedName name="TRECHO_PARCIAL" comment="SIBOLOGIA DE CADA TREHO" localSheetId="1">'DIMENSIONADOR - GN'!$B$11</definedName>
    <definedName name="TRECHO_PARCIAL" comment="SIBOLOGIA DE CADA TREH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12" l="1"/>
  <c r="J69" i="12"/>
  <c r="J68" i="12"/>
  <c r="J67" i="12"/>
  <c r="J66" i="12"/>
  <c r="J65" i="12"/>
  <c r="J64" i="12"/>
  <c r="J63" i="12"/>
  <c r="J62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13" i="12"/>
  <c r="J62" i="11"/>
  <c r="J63" i="11"/>
  <c r="J64" i="11"/>
  <c r="J65" i="11"/>
  <c r="J66" i="11"/>
  <c r="J67" i="11"/>
  <c r="J68" i="11"/>
  <c r="J69" i="11"/>
  <c r="J70" i="11"/>
  <c r="J61" i="11"/>
  <c r="J28" i="11" l="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13" i="11"/>
  <c r="F57" i="12"/>
  <c r="M57" i="12" s="1"/>
  <c r="F9" i="12"/>
  <c r="M9" i="12" s="1"/>
  <c r="R70" i="12"/>
  <c r="O70" i="12"/>
  <c r="F70" i="12"/>
  <c r="G70" i="12" s="1"/>
  <c r="R69" i="12"/>
  <c r="O69" i="12"/>
  <c r="F69" i="12"/>
  <c r="G69" i="12" s="1"/>
  <c r="R68" i="12"/>
  <c r="O68" i="12"/>
  <c r="F68" i="12"/>
  <c r="G68" i="12" s="1"/>
  <c r="R67" i="12"/>
  <c r="O67" i="12"/>
  <c r="F67" i="12"/>
  <c r="G67" i="12" s="1"/>
  <c r="R66" i="12"/>
  <c r="O66" i="12"/>
  <c r="F66" i="12"/>
  <c r="G66" i="12" s="1"/>
  <c r="R65" i="12"/>
  <c r="O65" i="12"/>
  <c r="F65" i="12"/>
  <c r="G65" i="12" s="1"/>
  <c r="R64" i="12"/>
  <c r="O64" i="12"/>
  <c r="F64" i="12"/>
  <c r="G64" i="12" s="1"/>
  <c r="R63" i="12"/>
  <c r="O63" i="12"/>
  <c r="F63" i="12"/>
  <c r="G63" i="12" s="1"/>
  <c r="X62" i="12"/>
  <c r="R62" i="12"/>
  <c r="P62" i="12"/>
  <c r="P61" i="12" s="1"/>
  <c r="O62" i="12"/>
  <c r="F62" i="12"/>
  <c r="G62" i="12" s="1"/>
  <c r="G61" i="12" s="1"/>
  <c r="R61" i="12"/>
  <c r="N61" i="12"/>
  <c r="O61" i="12" s="1"/>
  <c r="J61" i="12"/>
  <c r="E61" i="12"/>
  <c r="D61" i="12"/>
  <c r="R53" i="12"/>
  <c r="O53" i="12"/>
  <c r="E53" i="12"/>
  <c r="F53" i="12" s="1"/>
  <c r="G53" i="12" s="1"/>
  <c r="X52" i="12"/>
  <c r="R52" i="12"/>
  <c r="O52" i="12"/>
  <c r="E52" i="12"/>
  <c r="F52" i="12" s="1"/>
  <c r="G52" i="12" s="1"/>
  <c r="X51" i="12"/>
  <c r="R51" i="12"/>
  <c r="O51" i="12"/>
  <c r="E51" i="12"/>
  <c r="F51" i="12" s="1"/>
  <c r="G51" i="12" s="1"/>
  <c r="X50" i="12"/>
  <c r="R50" i="12"/>
  <c r="O50" i="12"/>
  <c r="E50" i="12"/>
  <c r="F50" i="12" s="1"/>
  <c r="G50" i="12" s="1"/>
  <c r="X49" i="12"/>
  <c r="R49" i="12"/>
  <c r="O49" i="12"/>
  <c r="E49" i="12"/>
  <c r="F49" i="12" s="1"/>
  <c r="G49" i="12" s="1"/>
  <c r="X48" i="12"/>
  <c r="R48" i="12"/>
  <c r="O48" i="12"/>
  <c r="E48" i="12"/>
  <c r="F48" i="12" s="1"/>
  <c r="G48" i="12" s="1"/>
  <c r="X47" i="12"/>
  <c r="R47" i="12"/>
  <c r="O47" i="12"/>
  <c r="E47" i="12"/>
  <c r="F47" i="12" s="1"/>
  <c r="G47" i="12" s="1"/>
  <c r="X46" i="12"/>
  <c r="R46" i="12"/>
  <c r="O46" i="12"/>
  <c r="E46" i="12"/>
  <c r="F46" i="12" s="1"/>
  <c r="G46" i="12" s="1"/>
  <c r="X45" i="12"/>
  <c r="R45" i="12"/>
  <c r="O45" i="12"/>
  <c r="E45" i="12"/>
  <c r="F45" i="12" s="1"/>
  <c r="G45" i="12" s="1"/>
  <c r="X44" i="12"/>
  <c r="R44" i="12"/>
  <c r="O44" i="12"/>
  <c r="E44" i="12"/>
  <c r="F44" i="12" s="1"/>
  <c r="G44" i="12" s="1"/>
  <c r="X43" i="12"/>
  <c r="R43" i="12"/>
  <c r="O43" i="12"/>
  <c r="E43" i="12"/>
  <c r="F43" i="12" s="1"/>
  <c r="G43" i="12" s="1"/>
  <c r="X42" i="12"/>
  <c r="R42" i="12"/>
  <c r="O42" i="12"/>
  <c r="E42" i="12"/>
  <c r="F42" i="12" s="1"/>
  <c r="G42" i="12" s="1"/>
  <c r="X41" i="12"/>
  <c r="R41" i="12"/>
  <c r="O41" i="12"/>
  <c r="E41" i="12"/>
  <c r="F41" i="12" s="1"/>
  <c r="G41" i="12" s="1"/>
  <c r="X40" i="12"/>
  <c r="R40" i="12"/>
  <c r="O40" i="12"/>
  <c r="E40" i="12"/>
  <c r="F40" i="12" s="1"/>
  <c r="G40" i="12" s="1"/>
  <c r="X39" i="12"/>
  <c r="R39" i="12"/>
  <c r="O39" i="12"/>
  <c r="E39" i="12"/>
  <c r="F39" i="12" s="1"/>
  <c r="G39" i="12" s="1"/>
  <c r="X38" i="12"/>
  <c r="R38" i="12"/>
  <c r="O38" i="12"/>
  <c r="E38" i="12"/>
  <c r="F38" i="12" s="1"/>
  <c r="G38" i="12" s="1"/>
  <c r="X37" i="12"/>
  <c r="R37" i="12"/>
  <c r="O37" i="12"/>
  <c r="E37" i="12"/>
  <c r="F37" i="12" s="1"/>
  <c r="G37" i="12" s="1"/>
  <c r="X36" i="12"/>
  <c r="R36" i="12"/>
  <c r="O36" i="12"/>
  <c r="E36" i="12"/>
  <c r="F36" i="12" s="1"/>
  <c r="G36" i="12" s="1"/>
  <c r="X35" i="12"/>
  <c r="R35" i="12"/>
  <c r="O35" i="12"/>
  <c r="E35" i="12"/>
  <c r="F35" i="12" s="1"/>
  <c r="G35" i="12" s="1"/>
  <c r="X34" i="12"/>
  <c r="R34" i="12"/>
  <c r="O34" i="12"/>
  <c r="E34" i="12"/>
  <c r="F34" i="12" s="1"/>
  <c r="G34" i="12" s="1"/>
  <c r="X33" i="12"/>
  <c r="R33" i="12"/>
  <c r="O33" i="12"/>
  <c r="E33" i="12"/>
  <c r="F33" i="12" s="1"/>
  <c r="G33" i="12" s="1"/>
  <c r="X32" i="12"/>
  <c r="R32" i="12"/>
  <c r="O32" i="12"/>
  <c r="E32" i="12"/>
  <c r="F32" i="12" s="1"/>
  <c r="G32" i="12" s="1"/>
  <c r="X31" i="12"/>
  <c r="R31" i="12"/>
  <c r="O31" i="12"/>
  <c r="E31" i="12"/>
  <c r="F31" i="12" s="1"/>
  <c r="G31" i="12" s="1"/>
  <c r="X30" i="12"/>
  <c r="R30" i="12"/>
  <c r="O30" i="12"/>
  <c r="E30" i="12"/>
  <c r="F30" i="12" s="1"/>
  <c r="G30" i="12" s="1"/>
  <c r="X29" i="12"/>
  <c r="R29" i="12"/>
  <c r="O29" i="12"/>
  <c r="E29" i="12"/>
  <c r="F29" i="12" s="1"/>
  <c r="G29" i="12" s="1"/>
  <c r="X28" i="12"/>
  <c r="R28" i="12"/>
  <c r="O28" i="12"/>
  <c r="E28" i="12"/>
  <c r="F28" i="12" s="1"/>
  <c r="G28" i="12" s="1"/>
  <c r="X27" i="12"/>
  <c r="R27" i="12"/>
  <c r="O27" i="12"/>
  <c r="E27" i="12"/>
  <c r="F27" i="12" s="1"/>
  <c r="G27" i="12" s="1"/>
  <c r="R26" i="12"/>
  <c r="O26" i="12"/>
  <c r="E26" i="12"/>
  <c r="F26" i="12" s="1"/>
  <c r="G26" i="12" s="1"/>
  <c r="X25" i="12"/>
  <c r="R25" i="12"/>
  <c r="O25" i="12"/>
  <c r="E25" i="12"/>
  <c r="F25" i="12" s="1"/>
  <c r="G25" i="12" s="1"/>
  <c r="X24" i="12"/>
  <c r="R24" i="12"/>
  <c r="O24" i="12"/>
  <c r="E24" i="12"/>
  <c r="F24" i="12" s="1"/>
  <c r="G24" i="12" s="1"/>
  <c r="X23" i="12"/>
  <c r="R23" i="12"/>
  <c r="O23" i="12"/>
  <c r="E23" i="12"/>
  <c r="F23" i="12" s="1"/>
  <c r="G23" i="12" s="1"/>
  <c r="X22" i="12"/>
  <c r="R22" i="12"/>
  <c r="O22" i="12"/>
  <c r="E22" i="12"/>
  <c r="F22" i="12" s="1"/>
  <c r="G22" i="12" s="1"/>
  <c r="X21" i="12"/>
  <c r="R21" i="12"/>
  <c r="O21" i="12"/>
  <c r="E21" i="12"/>
  <c r="F21" i="12" s="1"/>
  <c r="G21" i="12" s="1"/>
  <c r="X20" i="12"/>
  <c r="R20" i="12"/>
  <c r="O20" i="12"/>
  <c r="E20" i="12"/>
  <c r="F20" i="12" s="1"/>
  <c r="G20" i="12" s="1"/>
  <c r="X19" i="12"/>
  <c r="R19" i="12"/>
  <c r="O19" i="12"/>
  <c r="E19" i="12"/>
  <c r="F19" i="12" s="1"/>
  <c r="G19" i="12" s="1"/>
  <c r="X18" i="12"/>
  <c r="R18" i="12"/>
  <c r="O18" i="12"/>
  <c r="E18" i="12"/>
  <c r="F18" i="12" s="1"/>
  <c r="G18" i="12" s="1"/>
  <c r="X17" i="12"/>
  <c r="R17" i="12"/>
  <c r="O17" i="12"/>
  <c r="E17" i="12"/>
  <c r="F17" i="12" s="1"/>
  <c r="G17" i="12" s="1"/>
  <c r="X16" i="12"/>
  <c r="R16" i="12"/>
  <c r="O16" i="12"/>
  <c r="E16" i="12"/>
  <c r="F16" i="12" s="1"/>
  <c r="G16" i="12" s="1"/>
  <c r="X15" i="12"/>
  <c r="R15" i="12"/>
  <c r="O15" i="12"/>
  <c r="E15" i="12"/>
  <c r="F15" i="12" s="1"/>
  <c r="G15" i="12" s="1"/>
  <c r="X14" i="12"/>
  <c r="R14" i="12"/>
  <c r="O14" i="12"/>
  <c r="E14" i="12"/>
  <c r="F14" i="12" s="1"/>
  <c r="G14" i="12" s="1"/>
  <c r="X13" i="12"/>
  <c r="R13" i="12"/>
  <c r="O13" i="12"/>
  <c r="E13" i="12"/>
  <c r="F13" i="12" s="1"/>
  <c r="P12" i="12"/>
  <c r="N12" i="12"/>
  <c r="O12" i="12" s="1"/>
  <c r="J12" i="12"/>
  <c r="D12" i="12"/>
  <c r="V32" i="12" l="1"/>
  <c r="W32" i="12" s="1"/>
  <c r="V40" i="12"/>
  <c r="W40" i="12" s="1"/>
  <c r="V48" i="12"/>
  <c r="K48" i="12" s="1"/>
  <c r="L48" i="12" s="1"/>
  <c r="M48" i="12" s="1"/>
  <c r="D57" i="12"/>
  <c r="V22" i="12"/>
  <c r="K22" i="12" s="1"/>
  <c r="L22" i="12" s="1"/>
  <c r="M22" i="12" s="1"/>
  <c r="V69" i="12"/>
  <c r="W69" i="12" s="1"/>
  <c r="V46" i="12"/>
  <c r="W46" i="12" s="1"/>
  <c r="V15" i="12"/>
  <c r="W15" i="12" s="1"/>
  <c r="V31" i="12"/>
  <c r="W31" i="12" s="1"/>
  <c r="V47" i="12"/>
  <c r="W47" i="12" s="1"/>
  <c r="V29" i="12"/>
  <c r="W29" i="12" s="1"/>
  <c r="V14" i="12"/>
  <c r="W14" i="12" s="1"/>
  <c r="V25" i="12"/>
  <c r="K25" i="12" s="1"/>
  <c r="L25" i="12" s="1"/>
  <c r="M25" i="12" s="1"/>
  <c r="V33" i="12"/>
  <c r="W33" i="12" s="1"/>
  <c r="V41" i="12"/>
  <c r="W41" i="12" s="1"/>
  <c r="V70" i="12"/>
  <c r="W70" i="12" s="1"/>
  <c r="V28" i="12"/>
  <c r="K28" i="12" s="1"/>
  <c r="L28" i="12" s="1"/>
  <c r="M28" i="12" s="1"/>
  <c r="E12" i="12"/>
  <c r="V35" i="12"/>
  <c r="W35" i="12" s="1"/>
  <c r="V43" i="12"/>
  <c r="W43" i="12" s="1"/>
  <c r="V27" i="12"/>
  <c r="W27" i="12" s="1"/>
  <c r="V53" i="12"/>
  <c r="K53" i="12" s="1"/>
  <c r="L53" i="12" s="1"/>
  <c r="M53" i="12" s="1"/>
  <c r="V20" i="12"/>
  <c r="W20" i="12" s="1"/>
  <c r="V37" i="12"/>
  <c r="W37" i="12" s="1"/>
  <c r="V51" i="12"/>
  <c r="K51" i="12" s="1"/>
  <c r="L51" i="12" s="1"/>
  <c r="M51" i="12" s="1"/>
  <c r="F61" i="12"/>
  <c r="V39" i="12"/>
  <c r="W39" i="12" s="1"/>
  <c r="V45" i="12"/>
  <c r="W45" i="12" s="1"/>
  <c r="V21" i="12"/>
  <c r="W21" i="12" s="1"/>
  <c r="V30" i="12"/>
  <c r="K30" i="12" s="1"/>
  <c r="L30" i="12" s="1"/>
  <c r="M30" i="12" s="1"/>
  <c r="V38" i="12"/>
  <c r="W38" i="12" s="1"/>
  <c r="V44" i="12"/>
  <c r="W44" i="12" s="1"/>
  <c r="V52" i="12"/>
  <c r="K52" i="12" s="1"/>
  <c r="L52" i="12" s="1"/>
  <c r="M52" i="12" s="1"/>
  <c r="V18" i="12"/>
  <c r="K18" i="12" s="1"/>
  <c r="L18" i="12" s="1"/>
  <c r="M18" i="12" s="1"/>
  <c r="V49" i="12"/>
  <c r="W49" i="12" s="1"/>
  <c r="V63" i="12"/>
  <c r="W63" i="12" s="1"/>
  <c r="V68" i="12"/>
  <c r="W68" i="12" s="1"/>
  <c r="V16" i="12"/>
  <c r="K16" i="12" s="1"/>
  <c r="L16" i="12" s="1"/>
  <c r="M16" i="12" s="1"/>
  <c r="V23" i="12"/>
  <c r="W23" i="12" s="1"/>
  <c r="V36" i="12"/>
  <c r="K36" i="12" s="1"/>
  <c r="L36" i="12" s="1"/>
  <c r="M36" i="12" s="1"/>
  <c r="V19" i="12"/>
  <c r="W19" i="12" s="1"/>
  <c r="V26" i="12"/>
  <c r="W26" i="12" s="1"/>
  <c r="V42" i="12"/>
  <c r="K42" i="12" s="1"/>
  <c r="L42" i="12" s="1"/>
  <c r="M42" i="12" s="1"/>
  <c r="V61" i="12"/>
  <c r="W61" i="12" s="1"/>
  <c r="V24" i="12"/>
  <c r="W24" i="12" s="1"/>
  <c r="V34" i="12"/>
  <c r="W34" i="12" s="1"/>
  <c r="V50" i="12"/>
  <c r="W50" i="12" s="1"/>
  <c r="V17" i="12"/>
  <c r="W17" i="12" s="1"/>
  <c r="V64" i="12"/>
  <c r="K64" i="12" s="1"/>
  <c r="L64" i="12" s="1"/>
  <c r="M64" i="12" s="1"/>
  <c r="S64" i="12" s="1"/>
  <c r="U64" i="12" s="1"/>
  <c r="V65" i="12"/>
  <c r="W65" i="12" s="1"/>
  <c r="G13" i="12"/>
  <c r="F12" i="12"/>
  <c r="V62" i="12"/>
  <c r="V66" i="12"/>
  <c r="V67" i="12"/>
  <c r="W48" i="12" l="1"/>
  <c r="K40" i="12"/>
  <c r="L40" i="12" s="1"/>
  <c r="M40" i="12" s="1"/>
  <c r="K47" i="12"/>
  <c r="L47" i="12" s="1"/>
  <c r="M47" i="12" s="1"/>
  <c r="K32" i="12"/>
  <c r="L32" i="12" s="1"/>
  <c r="M32" i="12" s="1"/>
  <c r="K31" i="12"/>
  <c r="L31" i="12" s="1"/>
  <c r="M31" i="12" s="1"/>
  <c r="K65" i="12"/>
  <c r="L65" i="12" s="1"/>
  <c r="M65" i="12" s="1"/>
  <c r="S65" i="12" s="1"/>
  <c r="U65" i="12" s="1"/>
  <c r="K70" i="12"/>
  <c r="L70" i="12" s="1"/>
  <c r="M70" i="12" s="1"/>
  <c r="S70" i="12" s="1"/>
  <c r="U70" i="12" s="1"/>
  <c r="K50" i="12"/>
  <c r="L50" i="12" s="1"/>
  <c r="M50" i="12" s="1"/>
  <c r="K46" i="12"/>
  <c r="L46" i="12" s="1"/>
  <c r="M46" i="12" s="1"/>
  <c r="W53" i="12"/>
  <c r="W25" i="12"/>
  <c r="K15" i="12"/>
  <c r="L15" i="12" s="1"/>
  <c r="M15" i="12" s="1"/>
  <c r="K29" i="12"/>
  <c r="L29" i="12" s="1"/>
  <c r="M29" i="12" s="1"/>
  <c r="K41" i="12"/>
  <c r="L41" i="12" s="1"/>
  <c r="M41" i="12" s="1"/>
  <c r="W22" i="12"/>
  <c r="K14" i="12"/>
  <c r="L14" i="12" s="1"/>
  <c r="M14" i="12" s="1"/>
  <c r="K69" i="12"/>
  <c r="L69" i="12" s="1"/>
  <c r="M69" i="12" s="1"/>
  <c r="S69" i="12" s="1"/>
  <c r="U69" i="12" s="1"/>
  <c r="K33" i="12"/>
  <c r="L33" i="12" s="1"/>
  <c r="M33" i="12" s="1"/>
  <c r="W28" i="12"/>
  <c r="K21" i="12"/>
  <c r="L21" i="12" s="1"/>
  <c r="M21" i="12" s="1"/>
  <c r="W51" i="12"/>
  <c r="W52" i="12"/>
  <c r="W30" i="12"/>
  <c r="K45" i="12"/>
  <c r="L45" i="12" s="1"/>
  <c r="M45" i="12" s="1"/>
  <c r="K43" i="12"/>
  <c r="L43" i="12" s="1"/>
  <c r="M43" i="12" s="1"/>
  <c r="K63" i="12"/>
  <c r="L63" i="12" s="1"/>
  <c r="M63" i="12" s="1"/>
  <c r="S63" i="12" s="1"/>
  <c r="U63" i="12" s="1"/>
  <c r="K39" i="12"/>
  <c r="L39" i="12" s="1"/>
  <c r="M39" i="12" s="1"/>
  <c r="K35" i="12"/>
  <c r="L35" i="12" s="1"/>
  <c r="M35" i="12" s="1"/>
  <c r="W42" i="12"/>
  <c r="K37" i="12"/>
  <c r="L37" i="12" s="1"/>
  <c r="M37" i="12" s="1"/>
  <c r="K24" i="12"/>
  <c r="L24" i="12" s="1"/>
  <c r="M24" i="12" s="1"/>
  <c r="W36" i="12"/>
  <c r="K20" i="12"/>
  <c r="L20" i="12" s="1"/>
  <c r="M20" i="12" s="1"/>
  <c r="K17" i="12"/>
  <c r="L17" i="12" s="1"/>
  <c r="M17" i="12" s="1"/>
  <c r="K44" i="12"/>
  <c r="L44" i="12" s="1"/>
  <c r="M44" i="12" s="1"/>
  <c r="K38" i="12"/>
  <c r="L38" i="12" s="1"/>
  <c r="M38" i="12" s="1"/>
  <c r="K23" i="12"/>
  <c r="L23" i="12" s="1"/>
  <c r="M23" i="12" s="1"/>
  <c r="K27" i="12"/>
  <c r="L27" i="12" s="1"/>
  <c r="M27" i="12" s="1"/>
  <c r="K49" i="12"/>
  <c r="L49" i="12" s="1"/>
  <c r="M49" i="12" s="1"/>
  <c r="W18" i="12"/>
  <c r="K26" i="12"/>
  <c r="L26" i="12" s="1"/>
  <c r="M26" i="12" s="1"/>
  <c r="K68" i="12"/>
  <c r="L68" i="12" s="1"/>
  <c r="M68" i="12" s="1"/>
  <c r="S68" i="12" s="1"/>
  <c r="U68" i="12" s="1"/>
  <c r="K19" i="12"/>
  <c r="L19" i="12" s="1"/>
  <c r="M19" i="12" s="1"/>
  <c r="W64" i="12"/>
  <c r="K61" i="12"/>
  <c r="L61" i="12" s="1"/>
  <c r="M61" i="12" s="1"/>
  <c r="S61" i="12" s="1"/>
  <c r="U61" i="12" s="1"/>
  <c r="K34" i="12"/>
  <c r="L34" i="12" s="1"/>
  <c r="M34" i="12" s="1"/>
  <c r="W16" i="12"/>
  <c r="V13" i="12"/>
  <c r="G12" i="12"/>
  <c r="V12" i="12" s="1"/>
  <c r="W62" i="12"/>
  <c r="K62" i="12"/>
  <c r="L62" i="12" s="1"/>
  <c r="M62" i="12" s="1"/>
  <c r="K66" i="12"/>
  <c r="L66" i="12" s="1"/>
  <c r="M66" i="12" s="1"/>
  <c r="S66" i="12" s="1"/>
  <c r="U66" i="12" s="1"/>
  <c r="W66" i="12"/>
  <c r="W67" i="12"/>
  <c r="K67" i="12"/>
  <c r="L67" i="12" s="1"/>
  <c r="M67" i="12" s="1"/>
  <c r="S67" i="12" s="1"/>
  <c r="U67" i="12" s="1"/>
  <c r="T61" i="12" l="1"/>
  <c r="S62" i="12"/>
  <c r="U62" i="12" s="1"/>
  <c r="W12" i="12"/>
  <c r="K12" i="12"/>
  <c r="L12" i="12" s="1"/>
  <c r="M12" i="12" s="1"/>
  <c r="T12" i="12" s="1"/>
  <c r="S12" i="12" s="1"/>
  <c r="U12" i="12" s="1"/>
  <c r="K13" i="12"/>
  <c r="L13" i="12" s="1"/>
  <c r="M13" i="12" s="1"/>
  <c r="W13" i="12"/>
  <c r="T62" i="12" l="1"/>
  <c r="P63" i="12" s="1"/>
  <c r="T63" i="12" s="1"/>
  <c r="T13" i="12"/>
  <c r="S13" i="12" s="1"/>
  <c r="U13" i="12" s="1"/>
  <c r="P64" i="12" l="1"/>
  <c r="T64" i="12" s="1"/>
  <c r="X63" i="12"/>
  <c r="P14" i="12"/>
  <c r="T14" i="12" s="1"/>
  <c r="P15" i="12" s="1"/>
  <c r="P65" i="12" l="1"/>
  <c r="T65" i="12" s="1"/>
  <c r="X64" i="12"/>
  <c r="S14" i="12"/>
  <c r="U14" i="12" s="1"/>
  <c r="T15" i="12"/>
  <c r="P16" i="12" s="1"/>
  <c r="P66" i="12" l="1"/>
  <c r="T66" i="12" s="1"/>
  <c r="X65" i="12"/>
  <c r="S15" i="12"/>
  <c r="U15" i="12" s="1"/>
  <c r="T16" i="12"/>
  <c r="P17" i="12" s="1"/>
  <c r="P67" i="12" l="1"/>
  <c r="T67" i="12" s="1"/>
  <c r="X66" i="12"/>
  <c r="T17" i="12"/>
  <c r="P18" i="12" s="1"/>
  <c r="S16" i="12"/>
  <c r="U16" i="12" s="1"/>
  <c r="P68" i="12" l="1"/>
  <c r="T68" i="12" s="1"/>
  <c r="X67" i="12"/>
  <c r="T18" i="12"/>
  <c r="P19" i="12" s="1"/>
  <c r="S17" i="12"/>
  <c r="U17" i="12" s="1"/>
  <c r="P69" i="12" l="1"/>
  <c r="T69" i="12" s="1"/>
  <c r="X68" i="12"/>
  <c r="T19" i="12"/>
  <c r="P20" i="12" s="1"/>
  <c r="S18" i="12"/>
  <c r="U18" i="12" s="1"/>
  <c r="P70" i="12" l="1"/>
  <c r="T70" i="12" s="1"/>
  <c r="X70" i="12" s="1"/>
  <c r="X69" i="12"/>
  <c r="T20" i="12"/>
  <c r="P21" i="12" s="1"/>
  <c r="S19" i="12"/>
  <c r="U19" i="12" s="1"/>
  <c r="T21" i="12" l="1"/>
  <c r="P22" i="12" s="1"/>
  <c r="S20" i="12"/>
  <c r="U20" i="12" s="1"/>
  <c r="T22" i="12" l="1"/>
  <c r="P23" i="12" s="1"/>
  <c r="S21" i="12"/>
  <c r="U21" i="12" s="1"/>
  <c r="T23" i="12" l="1"/>
  <c r="P24" i="12" s="1"/>
  <c r="S22" i="12"/>
  <c r="U22" i="12" s="1"/>
  <c r="T24" i="12" l="1"/>
  <c r="P25" i="12" s="1"/>
  <c r="S23" i="12"/>
  <c r="U23" i="12" s="1"/>
  <c r="T25" i="12" l="1"/>
  <c r="P26" i="12" s="1"/>
  <c r="S24" i="12"/>
  <c r="U24" i="12" s="1"/>
  <c r="T26" i="12" l="1"/>
  <c r="S25" i="12"/>
  <c r="U25" i="12" s="1"/>
  <c r="P27" i="12" l="1"/>
  <c r="T27" i="12" s="1"/>
  <c r="P28" i="12" s="1"/>
  <c r="X26" i="12"/>
  <c r="S26" i="12"/>
  <c r="U26" i="12" s="1"/>
  <c r="S27" i="12" l="1"/>
  <c r="U27" i="12" s="1"/>
  <c r="T28" i="12"/>
  <c r="P29" i="12" s="1"/>
  <c r="S28" i="12" l="1"/>
  <c r="U28" i="12" s="1"/>
  <c r="T29" i="12"/>
  <c r="P30" i="12" s="1"/>
  <c r="S29" i="12" l="1"/>
  <c r="U29" i="12" s="1"/>
  <c r="T30" i="12"/>
  <c r="P31" i="12" s="1"/>
  <c r="S30" i="12" l="1"/>
  <c r="U30" i="12" s="1"/>
  <c r="T31" i="12"/>
  <c r="P32" i="12" s="1"/>
  <c r="S31" i="12" l="1"/>
  <c r="U31" i="12" s="1"/>
  <c r="T32" i="12"/>
  <c r="P33" i="12" s="1"/>
  <c r="T33" i="12" l="1"/>
  <c r="P34" i="12" s="1"/>
  <c r="S32" i="12"/>
  <c r="U32" i="12" s="1"/>
  <c r="S33" i="12" l="1"/>
  <c r="U33" i="12" s="1"/>
  <c r="T34" i="12"/>
  <c r="P35" i="12" s="1"/>
  <c r="S34" i="12" l="1"/>
  <c r="U34" i="12" s="1"/>
  <c r="T35" i="12"/>
  <c r="P36" i="12" s="1"/>
  <c r="T36" i="12" l="1"/>
  <c r="P37" i="12" s="1"/>
  <c r="S35" i="12"/>
  <c r="U35" i="12" s="1"/>
  <c r="S36" i="12" l="1"/>
  <c r="U36" i="12" s="1"/>
  <c r="T37" i="12"/>
  <c r="P38" i="12" s="1"/>
  <c r="S37" i="12" l="1"/>
  <c r="U37" i="12" s="1"/>
  <c r="T38" i="12"/>
  <c r="P39" i="12" s="1"/>
  <c r="S38" i="12" l="1"/>
  <c r="U38" i="12" s="1"/>
  <c r="T39" i="12"/>
  <c r="P40" i="12" s="1"/>
  <c r="T40" i="12" l="1"/>
  <c r="P41" i="12" s="1"/>
  <c r="S39" i="12"/>
  <c r="U39" i="12" s="1"/>
  <c r="S40" i="12" l="1"/>
  <c r="U40" i="12" s="1"/>
  <c r="T41" i="12"/>
  <c r="P42" i="12" s="1"/>
  <c r="S41" i="12" l="1"/>
  <c r="U41" i="12" s="1"/>
  <c r="T42" i="12"/>
  <c r="P43" i="12" s="1"/>
  <c r="T43" i="12" l="1"/>
  <c r="P44" i="12" s="1"/>
  <c r="S42" i="12"/>
  <c r="U42" i="12" s="1"/>
  <c r="S43" i="12" l="1"/>
  <c r="U43" i="12" s="1"/>
  <c r="T44" i="12"/>
  <c r="P45" i="12" s="1"/>
  <c r="T45" i="12" l="1"/>
  <c r="P46" i="12" s="1"/>
  <c r="S44" i="12"/>
  <c r="U44" i="12" s="1"/>
  <c r="S45" i="12" l="1"/>
  <c r="U45" i="12" s="1"/>
  <c r="T46" i="12"/>
  <c r="P47" i="12" s="1"/>
  <c r="T47" i="12" l="1"/>
  <c r="P48" i="12" s="1"/>
  <c r="S46" i="12"/>
  <c r="U46" i="12" s="1"/>
  <c r="S47" i="12" l="1"/>
  <c r="U47" i="12" s="1"/>
  <c r="T48" i="12"/>
  <c r="P49" i="12" s="1"/>
  <c r="S48" i="12" l="1"/>
  <c r="U48" i="12" s="1"/>
  <c r="T49" i="12"/>
  <c r="P50" i="12" s="1"/>
  <c r="S49" i="12" l="1"/>
  <c r="U49" i="12" s="1"/>
  <c r="T50" i="12"/>
  <c r="P51" i="12" s="1"/>
  <c r="S50" i="12" l="1"/>
  <c r="U50" i="12" s="1"/>
  <c r="T51" i="12"/>
  <c r="P52" i="12" l="1"/>
  <c r="S51" i="12"/>
  <c r="U51" i="12" s="1"/>
  <c r="T52" i="12" l="1"/>
  <c r="S52" i="12" l="1"/>
  <c r="U52" i="12" s="1"/>
  <c r="P53" i="12"/>
  <c r="T53" i="12" s="1"/>
  <c r="X53" i="12" l="1"/>
  <c r="S53" i="12"/>
  <c r="U53" i="12" s="1"/>
  <c r="F57" i="11" l="1"/>
  <c r="F9" i="11"/>
  <c r="D9" i="11" s="1"/>
  <c r="R70" i="11"/>
  <c r="O70" i="11"/>
  <c r="F70" i="11"/>
  <c r="G70" i="11" s="1"/>
  <c r="X69" i="11"/>
  <c r="R69" i="11"/>
  <c r="O69" i="11"/>
  <c r="F69" i="11"/>
  <c r="G69" i="11" s="1"/>
  <c r="X68" i="11"/>
  <c r="R68" i="11"/>
  <c r="O68" i="11"/>
  <c r="F68" i="11"/>
  <c r="G68" i="11" s="1"/>
  <c r="X67" i="11"/>
  <c r="R67" i="11"/>
  <c r="O67" i="11"/>
  <c r="F67" i="11"/>
  <c r="G67" i="11" s="1"/>
  <c r="X66" i="11"/>
  <c r="R66" i="11"/>
  <c r="O66" i="11"/>
  <c r="F66" i="11"/>
  <c r="G66" i="11" s="1"/>
  <c r="X65" i="11"/>
  <c r="R65" i="11"/>
  <c r="O65" i="11"/>
  <c r="F65" i="11"/>
  <c r="G65" i="11" s="1"/>
  <c r="R64" i="11"/>
  <c r="O64" i="11"/>
  <c r="F64" i="11"/>
  <c r="G64" i="11" s="1"/>
  <c r="R63" i="11"/>
  <c r="O63" i="11"/>
  <c r="F63" i="11"/>
  <c r="G63" i="11" s="1"/>
  <c r="R62" i="11"/>
  <c r="P62" i="11"/>
  <c r="O62" i="11"/>
  <c r="F62" i="11"/>
  <c r="G62" i="11" s="1"/>
  <c r="R61" i="11"/>
  <c r="P61" i="11"/>
  <c r="O61" i="11"/>
  <c r="E61" i="11"/>
  <c r="F61" i="11" s="1"/>
  <c r="G61" i="11" s="1"/>
  <c r="R53" i="11"/>
  <c r="O53" i="11"/>
  <c r="E53" i="11"/>
  <c r="F53" i="11" s="1"/>
  <c r="G53" i="11" s="1"/>
  <c r="X52" i="11"/>
  <c r="R52" i="11"/>
  <c r="O52" i="11"/>
  <c r="E52" i="11"/>
  <c r="F52" i="11" s="1"/>
  <c r="G52" i="11" s="1"/>
  <c r="X51" i="11"/>
  <c r="R51" i="11"/>
  <c r="O51" i="11"/>
  <c r="E51" i="11"/>
  <c r="F51" i="11" s="1"/>
  <c r="G51" i="11" s="1"/>
  <c r="X50" i="11"/>
  <c r="R50" i="11"/>
  <c r="O50" i="11"/>
  <c r="E50" i="11"/>
  <c r="F50" i="11" s="1"/>
  <c r="G50" i="11" s="1"/>
  <c r="X49" i="11"/>
  <c r="R49" i="11"/>
  <c r="O49" i="11"/>
  <c r="E49" i="11"/>
  <c r="F49" i="11" s="1"/>
  <c r="G49" i="11" s="1"/>
  <c r="X48" i="11"/>
  <c r="R48" i="11"/>
  <c r="O48" i="11"/>
  <c r="E48" i="11"/>
  <c r="F48" i="11" s="1"/>
  <c r="G48" i="11" s="1"/>
  <c r="X47" i="11"/>
  <c r="R47" i="11"/>
  <c r="O47" i="11"/>
  <c r="E47" i="11"/>
  <c r="F47" i="11" s="1"/>
  <c r="G47" i="11" s="1"/>
  <c r="X46" i="11"/>
  <c r="R46" i="11"/>
  <c r="O46" i="11"/>
  <c r="E46" i="11"/>
  <c r="F46" i="11" s="1"/>
  <c r="G46" i="11" s="1"/>
  <c r="X45" i="11"/>
  <c r="R45" i="11"/>
  <c r="O45" i="11"/>
  <c r="E45" i="11"/>
  <c r="F45" i="11" s="1"/>
  <c r="G45" i="11" s="1"/>
  <c r="X44" i="11"/>
  <c r="R44" i="11"/>
  <c r="O44" i="11"/>
  <c r="E44" i="11"/>
  <c r="F44" i="11" s="1"/>
  <c r="G44" i="11" s="1"/>
  <c r="X43" i="11"/>
  <c r="R43" i="11"/>
  <c r="O43" i="11"/>
  <c r="E43" i="11"/>
  <c r="F43" i="11" s="1"/>
  <c r="G43" i="11" s="1"/>
  <c r="X42" i="11"/>
  <c r="R42" i="11"/>
  <c r="O42" i="11"/>
  <c r="E42" i="11"/>
  <c r="F42" i="11" s="1"/>
  <c r="G42" i="11" s="1"/>
  <c r="X41" i="11"/>
  <c r="R41" i="11"/>
  <c r="O41" i="11"/>
  <c r="E41" i="11"/>
  <c r="F41" i="11" s="1"/>
  <c r="G41" i="11" s="1"/>
  <c r="X40" i="11"/>
  <c r="R40" i="11"/>
  <c r="O40" i="11"/>
  <c r="E40" i="11"/>
  <c r="F40" i="11" s="1"/>
  <c r="G40" i="11" s="1"/>
  <c r="X39" i="11"/>
  <c r="R39" i="11"/>
  <c r="O39" i="11"/>
  <c r="E39" i="11"/>
  <c r="F39" i="11" s="1"/>
  <c r="G39" i="11" s="1"/>
  <c r="X38" i="11"/>
  <c r="R38" i="11"/>
  <c r="O38" i="11"/>
  <c r="E38" i="11"/>
  <c r="F38" i="11" s="1"/>
  <c r="G38" i="11" s="1"/>
  <c r="X37" i="11"/>
  <c r="R37" i="11"/>
  <c r="O37" i="11"/>
  <c r="E37" i="11"/>
  <c r="F37" i="11" s="1"/>
  <c r="G37" i="11" s="1"/>
  <c r="X36" i="11"/>
  <c r="R36" i="11"/>
  <c r="O36" i="11"/>
  <c r="E36" i="11"/>
  <c r="F36" i="11" s="1"/>
  <c r="G36" i="11" s="1"/>
  <c r="X35" i="11"/>
  <c r="R35" i="11"/>
  <c r="O35" i="11"/>
  <c r="E35" i="11"/>
  <c r="F35" i="11" s="1"/>
  <c r="G35" i="11" s="1"/>
  <c r="X34" i="11"/>
  <c r="R34" i="11"/>
  <c r="O34" i="11"/>
  <c r="E34" i="11"/>
  <c r="F34" i="11" s="1"/>
  <c r="G34" i="11" s="1"/>
  <c r="X33" i="11"/>
  <c r="R33" i="11"/>
  <c r="O33" i="11"/>
  <c r="E33" i="11"/>
  <c r="F33" i="11" s="1"/>
  <c r="G33" i="11" s="1"/>
  <c r="X32" i="11"/>
  <c r="R32" i="11"/>
  <c r="O32" i="11"/>
  <c r="E32" i="11"/>
  <c r="F32" i="11" s="1"/>
  <c r="G32" i="11" s="1"/>
  <c r="X31" i="11"/>
  <c r="R31" i="11"/>
  <c r="O31" i="11"/>
  <c r="E31" i="11"/>
  <c r="F31" i="11" s="1"/>
  <c r="G31" i="11" s="1"/>
  <c r="X30" i="11"/>
  <c r="R30" i="11"/>
  <c r="O30" i="11"/>
  <c r="E30" i="11"/>
  <c r="F30" i="11" s="1"/>
  <c r="G30" i="11" s="1"/>
  <c r="X29" i="11"/>
  <c r="R29" i="11"/>
  <c r="O29" i="11"/>
  <c r="E29" i="11"/>
  <c r="F29" i="11" s="1"/>
  <c r="G29" i="11" s="1"/>
  <c r="X28" i="11"/>
  <c r="R28" i="11"/>
  <c r="O28" i="11"/>
  <c r="E28" i="11"/>
  <c r="F28" i="11" s="1"/>
  <c r="G28" i="11" s="1"/>
  <c r="X27" i="11"/>
  <c r="R27" i="11"/>
  <c r="O27" i="11"/>
  <c r="E27" i="11"/>
  <c r="F27" i="11" s="1"/>
  <c r="G27" i="11" s="1"/>
  <c r="R26" i="11"/>
  <c r="O26" i="11"/>
  <c r="E26" i="11"/>
  <c r="F26" i="11" s="1"/>
  <c r="G26" i="11" s="1"/>
  <c r="X25" i="11"/>
  <c r="R25" i="11"/>
  <c r="O25" i="11"/>
  <c r="E25" i="11"/>
  <c r="F25" i="11" s="1"/>
  <c r="G25" i="11" s="1"/>
  <c r="X24" i="11"/>
  <c r="R24" i="11"/>
  <c r="O24" i="11"/>
  <c r="E24" i="11"/>
  <c r="F24" i="11" s="1"/>
  <c r="G24" i="11" s="1"/>
  <c r="X23" i="11"/>
  <c r="R23" i="11"/>
  <c r="O23" i="11"/>
  <c r="E23" i="11"/>
  <c r="F23" i="11" s="1"/>
  <c r="G23" i="11" s="1"/>
  <c r="X22" i="11"/>
  <c r="R22" i="11"/>
  <c r="O22" i="11"/>
  <c r="E22" i="11"/>
  <c r="F22" i="11" s="1"/>
  <c r="G22" i="11" s="1"/>
  <c r="X21" i="11"/>
  <c r="R21" i="11"/>
  <c r="O21" i="11"/>
  <c r="E21" i="11"/>
  <c r="F21" i="11" s="1"/>
  <c r="G21" i="11" s="1"/>
  <c r="X20" i="11"/>
  <c r="R20" i="11"/>
  <c r="O20" i="11"/>
  <c r="E20" i="11"/>
  <c r="F20" i="11" s="1"/>
  <c r="G20" i="11" s="1"/>
  <c r="X19" i="11"/>
  <c r="R19" i="11"/>
  <c r="O19" i="11"/>
  <c r="E19" i="11"/>
  <c r="F19" i="11" s="1"/>
  <c r="G19" i="11" s="1"/>
  <c r="X18" i="11"/>
  <c r="R18" i="11"/>
  <c r="O18" i="11"/>
  <c r="E18" i="11"/>
  <c r="F18" i="11" s="1"/>
  <c r="G18" i="11" s="1"/>
  <c r="X17" i="11"/>
  <c r="R17" i="11"/>
  <c r="O17" i="11"/>
  <c r="E17" i="11"/>
  <c r="F17" i="11" s="1"/>
  <c r="G17" i="11" s="1"/>
  <c r="X16" i="11"/>
  <c r="R16" i="11"/>
  <c r="O16" i="11"/>
  <c r="E16" i="11"/>
  <c r="F16" i="11" s="1"/>
  <c r="G16" i="11" s="1"/>
  <c r="X15" i="11"/>
  <c r="R15" i="11"/>
  <c r="O15" i="11"/>
  <c r="E15" i="11"/>
  <c r="F15" i="11" s="1"/>
  <c r="G15" i="11" s="1"/>
  <c r="X14" i="11"/>
  <c r="R14" i="11"/>
  <c r="O14" i="11"/>
  <c r="E14" i="11"/>
  <c r="F14" i="11" s="1"/>
  <c r="G14" i="11" s="1"/>
  <c r="X13" i="11"/>
  <c r="R13" i="11"/>
  <c r="O13" i="11"/>
  <c r="E13" i="11"/>
  <c r="E12" i="11" s="1"/>
  <c r="P12" i="11"/>
  <c r="N12" i="11"/>
  <c r="O12" i="11" s="1"/>
  <c r="J12" i="11"/>
  <c r="D12" i="11"/>
  <c r="M57" i="11" l="1"/>
  <c r="D57" i="11"/>
  <c r="V47" i="11"/>
  <c r="K47" i="11" s="1"/>
  <c r="L47" i="11" s="1"/>
  <c r="M47" i="11" s="1"/>
  <c r="V50" i="11"/>
  <c r="W50" i="11" s="1"/>
  <c r="M9" i="11"/>
  <c r="V44" i="11"/>
  <c r="W44" i="11" s="1"/>
  <c r="V41" i="11"/>
  <c r="W41" i="11" s="1"/>
  <c r="V38" i="11"/>
  <c r="W38" i="11" s="1"/>
  <c r="V16" i="11"/>
  <c r="K16" i="11" s="1"/>
  <c r="L16" i="11" s="1"/>
  <c r="M16" i="11" s="1"/>
  <c r="V24" i="11"/>
  <c r="W24" i="11" s="1"/>
  <c r="V40" i="11"/>
  <c r="W40" i="11" s="1"/>
  <c r="V21" i="11"/>
  <c r="W21" i="11" s="1"/>
  <c r="V37" i="11"/>
  <c r="W37" i="11" s="1"/>
  <c r="V46" i="11"/>
  <c r="W46" i="11" s="1"/>
  <c r="V34" i="11"/>
  <c r="K34" i="11" s="1"/>
  <c r="L34" i="11" s="1"/>
  <c r="M34" i="11" s="1"/>
  <c r="V53" i="11"/>
  <c r="W53" i="11" s="1"/>
  <c r="V19" i="11"/>
  <c r="W19" i="11" s="1"/>
  <c r="V65" i="11"/>
  <c r="W65" i="11" s="1"/>
  <c r="V32" i="11"/>
  <c r="K32" i="11" s="1"/>
  <c r="L32" i="11" s="1"/>
  <c r="M32" i="11" s="1"/>
  <c r="V70" i="11"/>
  <c r="W70" i="11" s="1"/>
  <c r="V48" i="11"/>
  <c r="W48" i="11" s="1"/>
  <c r="V51" i="11"/>
  <c r="K51" i="11" s="1"/>
  <c r="L51" i="11" s="1"/>
  <c r="M51" i="11" s="1"/>
  <c r="V45" i="11"/>
  <c r="W45" i="11" s="1"/>
  <c r="V17" i="11"/>
  <c r="W17" i="11" s="1"/>
  <c r="V31" i="11"/>
  <c r="W31" i="11" s="1"/>
  <c r="V49" i="11"/>
  <c r="K49" i="11" s="1"/>
  <c r="L49" i="11" s="1"/>
  <c r="M49" i="11" s="1"/>
  <c r="V52" i="11"/>
  <c r="K52" i="11" s="1"/>
  <c r="L52" i="11" s="1"/>
  <c r="M52" i="11" s="1"/>
  <c r="V14" i="11"/>
  <c r="W14" i="11" s="1"/>
  <c r="V22" i="11"/>
  <c r="K22" i="11" s="1"/>
  <c r="L22" i="11" s="1"/>
  <c r="M22" i="11" s="1"/>
  <c r="V25" i="11"/>
  <c r="W25" i="11" s="1"/>
  <c r="V28" i="11"/>
  <c r="W28" i="11" s="1"/>
  <c r="F13" i="11"/>
  <c r="G13" i="11" s="1"/>
  <c r="G12" i="11" s="1"/>
  <c r="V12" i="11" s="1"/>
  <c r="V29" i="11"/>
  <c r="K29" i="11" s="1"/>
  <c r="L29" i="11" s="1"/>
  <c r="M29" i="11" s="1"/>
  <c r="V18" i="11"/>
  <c r="K18" i="11" s="1"/>
  <c r="L18" i="11" s="1"/>
  <c r="M18" i="11" s="1"/>
  <c r="V15" i="11"/>
  <c r="K15" i="11" s="1"/>
  <c r="L15" i="11" s="1"/>
  <c r="M15" i="11" s="1"/>
  <c r="V30" i="11"/>
  <c r="W30" i="11" s="1"/>
  <c r="V33" i="11"/>
  <c r="W33" i="11" s="1"/>
  <c r="V36" i="11"/>
  <c r="K36" i="11" s="1"/>
  <c r="L36" i="11" s="1"/>
  <c r="M36" i="11" s="1"/>
  <c r="V39" i="11"/>
  <c r="W39" i="11" s="1"/>
  <c r="V20" i="11"/>
  <c r="K20" i="11" s="1"/>
  <c r="L20" i="11" s="1"/>
  <c r="M20" i="11" s="1"/>
  <c r="V23" i="11"/>
  <c r="W23" i="11" s="1"/>
  <c r="V69" i="11"/>
  <c r="V61" i="11"/>
  <c r="V62" i="11"/>
  <c r="V63" i="11"/>
  <c r="V64" i="11"/>
  <c r="V68" i="11"/>
  <c r="V67" i="11"/>
  <c r="V26" i="11"/>
  <c r="V42" i="11"/>
  <c r="V66" i="11"/>
  <c r="V27" i="11"/>
  <c r="V35" i="11"/>
  <c r="V43" i="11"/>
  <c r="W47" i="11" l="1"/>
  <c r="W16" i="11"/>
  <c r="K24" i="11"/>
  <c r="L24" i="11" s="1"/>
  <c r="M24" i="11" s="1"/>
  <c r="K65" i="11"/>
  <c r="L65" i="11" s="1"/>
  <c r="M65" i="11" s="1"/>
  <c r="S65" i="11" s="1"/>
  <c r="U65" i="11" s="1"/>
  <c r="K50" i="11"/>
  <c r="L50" i="11" s="1"/>
  <c r="M50" i="11" s="1"/>
  <c r="K70" i="11"/>
  <c r="L70" i="11" s="1"/>
  <c r="M70" i="11" s="1"/>
  <c r="S70" i="11" s="1"/>
  <c r="U70" i="11" s="1"/>
  <c r="K40" i="11"/>
  <c r="L40" i="11" s="1"/>
  <c r="M40" i="11" s="1"/>
  <c r="K44" i="11"/>
  <c r="L44" i="11" s="1"/>
  <c r="M44" i="11" s="1"/>
  <c r="K53" i="11"/>
  <c r="L53" i="11" s="1"/>
  <c r="M53" i="11" s="1"/>
  <c r="K38" i="11"/>
  <c r="L38" i="11" s="1"/>
  <c r="M38" i="11" s="1"/>
  <c r="K41" i="11"/>
  <c r="L41" i="11" s="1"/>
  <c r="M41" i="11" s="1"/>
  <c r="K21" i="11"/>
  <c r="L21" i="11" s="1"/>
  <c r="M21" i="11" s="1"/>
  <c r="K37" i="11"/>
  <c r="L37" i="11" s="1"/>
  <c r="M37" i="11" s="1"/>
  <c r="K46" i="11"/>
  <c r="L46" i="11" s="1"/>
  <c r="M46" i="11" s="1"/>
  <c r="W34" i="11"/>
  <c r="K31" i="11"/>
  <c r="L31" i="11" s="1"/>
  <c r="M31" i="11" s="1"/>
  <c r="K39" i="11"/>
  <c r="L39" i="11" s="1"/>
  <c r="M39" i="11" s="1"/>
  <c r="W49" i="11"/>
  <c r="W29" i="11"/>
  <c r="K23" i="11"/>
  <c r="L23" i="11" s="1"/>
  <c r="M23" i="11" s="1"/>
  <c r="W32" i="11"/>
  <c r="W18" i="11"/>
  <c r="K14" i="11"/>
  <c r="L14" i="11" s="1"/>
  <c r="M14" i="11" s="1"/>
  <c r="W22" i="11"/>
  <c r="W36" i="11"/>
  <c r="K48" i="11"/>
  <c r="L48" i="11" s="1"/>
  <c r="M48" i="11" s="1"/>
  <c r="W20" i="11"/>
  <c r="K19" i="11"/>
  <c r="L19" i="11" s="1"/>
  <c r="M19" i="11" s="1"/>
  <c r="W52" i="11"/>
  <c r="W51" i="11"/>
  <c r="K30" i="11"/>
  <c r="L30" i="11" s="1"/>
  <c r="M30" i="11" s="1"/>
  <c r="K33" i="11"/>
  <c r="L33" i="11" s="1"/>
  <c r="M33" i="11" s="1"/>
  <c r="V13" i="11"/>
  <c r="K13" i="11" s="1"/>
  <c r="L13" i="11" s="1"/>
  <c r="M13" i="11" s="1"/>
  <c r="F12" i="11"/>
  <c r="K17" i="11"/>
  <c r="L17" i="11" s="1"/>
  <c r="M17" i="11" s="1"/>
  <c r="K28" i="11"/>
  <c r="L28" i="11" s="1"/>
  <c r="M28" i="11" s="1"/>
  <c r="K45" i="11"/>
  <c r="L45" i="11" s="1"/>
  <c r="M45" i="11" s="1"/>
  <c r="W15" i="11"/>
  <c r="K25" i="11"/>
  <c r="L25" i="11" s="1"/>
  <c r="M25" i="11" s="1"/>
  <c r="W27" i="11"/>
  <c r="K27" i="11"/>
  <c r="L27" i="11" s="1"/>
  <c r="M27" i="11" s="1"/>
  <c r="W69" i="11"/>
  <c r="K69" i="11"/>
  <c r="L69" i="11" s="1"/>
  <c r="M69" i="11" s="1"/>
  <c r="S69" i="11" s="1"/>
  <c r="U69" i="11" s="1"/>
  <c r="W26" i="11"/>
  <c r="K26" i="11"/>
  <c r="L26" i="11" s="1"/>
  <c r="M26" i="11" s="1"/>
  <c r="W63" i="11"/>
  <c r="K63" i="11"/>
  <c r="L63" i="11" s="1"/>
  <c r="M63" i="11" s="1"/>
  <c r="S63" i="11" s="1"/>
  <c r="W12" i="11"/>
  <c r="K12" i="11"/>
  <c r="L12" i="11" s="1"/>
  <c r="M12" i="11" s="1"/>
  <c r="S12" i="11" s="1"/>
  <c r="W61" i="11"/>
  <c r="K61" i="11"/>
  <c r="L61" i="11" s="1"/>
  <c r="M61" i="11" s="1"/>
  <c r="S61" i="11" s="1"/>
  <c r="W68" i="11"/>
  <c r="K68" i="11"/>
  <c r="L68" i="11" s="1"/>
  <c r="M68" i="11" s="1"/>
  <c r="S68" i="11" s="1"/>
  <c r="U68" i="11" s="1"/>
  <c r="W64" i="11"/>
  <c r="K64" i="11"/>
  <c r="L64" i="11" s="1"/>
  <c r="M64" i="11" s="1"/>
  <c r="S64" i="11" s="1"/>
  <c r="K66" i="11"/>
  <c r="L66" i="11" s="1"/>
  <c r="M66" i="11" s="1"/>
  <c r="S66" i="11" s="1"/>
  <c r="U66" i="11" s="1"/>
  <c r="W66" i="11"/>
  <c r="W43" i="11"/>
  <c r="K43" i="11"/>
  <c r="L43" i="11" s="1"/>
  <c r="M43" i="11" s="1"/>
  <c r="W67" i="11"/>
  <c r="K67" i="11"/>
  <c r="L67" i="11" s="1"/>
  <c r="M67" i="11" s="1"/>
  <c r="S67" i="11" s="1"/>
  <c r="U67" i="11" s="1"/>
  <c r="W62" i="11"/>
  <c r="K62" i="11"/>
  <c r="L62" i="11" s="1"/>
  <c r="M62" i="11" s="1"/>
  <c r="W42" i="11"/>
  <c r="K42" i="11"/>
  <c r="L42" i="11" s="1"/>
  <c r="M42" i="11" s="1"/>
  <c r="W35" i="11"/>
  <c r="K35" i="11"/>
  <c r="L35" i="11" s="1"/>
  <c r="M35" i="11" s="1"/>
  <c r="W13" i="11" l="1"/>
  <c r="U64" i="11"/>
  <c r="S62" i="11"/>
  <c r="U12" i="11"/>
  <c r="T12" i="11"/>
  <c r="S13" i="11" s="1"/>
  <c r="U63" i="11"/>
  <c r="U61" i="11"/>
  <c r="T61" i="11"/>
  <c r="U13" i="11" l="1"/>
  <c r="T13" i="11"/>
  <c r="P14" i="11" s="1"/>
  <c r="U62" i="11"/>
  <c r="T62" i="11"/>
  <c r="X62" i="11" l="1"/>
  <c r="P63" i="11"/>
  <c r="T63" i="11" s="1"/>
  <c r="S14" i="11"/>
  <c r="U14" i="11" s="1"/>
  <c r="P64" i="11" l="1"/>
  <c r="T64" i="11" s="1"/>
  <c r="X64" i="11" s="1"/>
  <c r="X63" i="11"/>
  <c r="T14" i="11"/>
  <c r="P15" i="11" s="1"/>
  <c r="S15" i="11" s="1"/>
  <c r="U15" i="11" s="1"/>
  <c r="T15" i="11" l="1"/>
  <c r="P16" i="11" s="1"/>
  <c r="S16" i="11" s="1"/>
  <c r="U16" i="11" s="1"/>
  <c r="T16" i="11" l="1"/>
  <c r="P17" i="11" s="1"/>
  <c r="S17" i="11" l="1"/>
  <c r="U17" i="11" s="1"/>
  <c r="T17" i="11" l="1"/>
  <c r="P18" i="11" s="1"/>
  <c r="S18" i="11" s="1"/>
  <c r="U18" i="11" s="1"/>
  <c r="T18" i="11" l="1"/>
  <c r="P19" i="11" s="1"/>
  <c r="S19" i="11" l="1"/>
  <c r="U19" i="11" s="1"/>
  <c r="T19" i="11" l="1"/>
  <c r="P20" i="11" s="1"/>
  <c r="S20" i="11" l="1"/>
  <c r="U20" i="11" s="1"/>
  <c r="T20" i="11" l="1"/>
  <c r="P21" i="11" s="1"/>
  <c r="S21" i="11" l="1"/>
  <c r="U21" i="11" s="1"/>
  <c r="T21" i="11" l="1"/>
  <c r="P22" i="11" s="1"/>
  <c r="S22" i="11" s="1"/>
  <c r="U22" i="11" s="1"/>
  <c r="T22" i="11" l="1"/>
  <c r="P23" i="11" s="1"/>
  <c r="S23" i="11" l="1"/>
  <c r="U23" i="11" s="1"/>
  <c r="T23" i="11" l="1"/>
  <c r="P24" i="11" s="1"/>
  <c r="S24" i="11" s="1"/>
  <c r="U24" i="11" s="1"/>
  <c r="T24" i="11" l="1"/>
  <c r="P25" i="11" s="1"/>
  <c r="S25" i="11" s="1"/>
  <c r="U25" i="11" s="1"/>
  <c r="T25" i="11" l="1"/>
  <c r="P26" i="11" s="1"/>
  <c r="S26" i="11" l="1"/>
  <c r="U26" i="11" s="1"/>
  <c r="T26" i="11" l="1"/>
  <c r="P27" i="11" l="1"/>
  <c r="S27" i="11" s="1"/>
  <c r="U27" i="11" s="1"/>
  <c r="X26" i="11"/>
  <c r="T27" i="11" l="1"/>
  <c r="P28" i="11" s="1"/>
  <c r="S28" i="11" l="1"/>
  <c r="U28" i="11" s="1"/>
  <c r="T28" i="11" l="1"/>
  <c r="P29" i="11" s="1"/>
  <c r="S29" i="11" l="1"/>
  <c r="U29" i="11" s="1"/>
  <c r="T29" i="11" l="1"/>
  <c r="P30" i="11" s="1"/>
  <c r="S30" i="11" s="1"/>
  <c r="U30" i="11" s="1"/>
  <c r="T30" i="11" l="1"/>
  <c r="P31" i="11" s="1"/>
  <c r="S31" i="11" l="1"/>
  <c r="U31" i="11" s="1"/>
  <c r="T31" i="11" l="1"/>
  <c r="P32" i="11" s="1"/>
  <c r="S32" i="11" l="1"/>
  <c r="U32" i="11" s="1"/>
  <c r="T32" i="11" l="1"/>
  <c r="P33" i="11" s="1"/>
  <c r="S33" i="11" l="1"/>
  <c r="U33" i="11" s="1"/>
  <c r="T33" i="11" l="1"/>
  <c r="P34" i="11" s="1"/>
  <c r="S34" i="11" l="1"/>
  <c r="U34" i="11" s="1"/>
  <c r="T34" i="11" l="1"/>
  <c r="P35" i="11" s="1"/>
  <c r="S35" i="11" l="1"/>
  <c r="U35" i="11" s="1"/>
  <c r="T35" i="11" l="1"/>
  <c r="P36" i="11" s="1"/>
  <c r="S36" i="11" s="1"/>
  <c r="U36" i="11" s="1"/>
  <c r="T36" i="11" l="1"/>
  <c r="P37" i="11" s="1"/>
  <c r="S37" i="11" l="1"/>
  <c r="U37" i="11" s="1"/>
  <c r="T37" i="11" l="1"/>
  <c r="P38" i="11" s="1"/>
  <c r="S38" i="11" l="1"/>
  <c r="U38" i="11" s="1"/>
  <c r="T38" i="11" l="1"/>
  <c r="P39" i="11" s="1"/>
  <c r="S39" i="11" l="1"/>
  <c r="U39" i="11" s="1"/>
  <c r="T39" i="11" l="1"/>
  <c r="P40" i="11" s="1"/>
  <c r="S40" i="11" l="1"/>
  <c r="U40" i="11" s="1"/>
  <c r="T40" i="11" l="1"/>
  <c r="P41" i="11" s="1"/>
  <c r="S41" i="11" l="1"/>
  <c r="U41" i="11" s="1"/>
  <c r="T41" i="11" l="1"/>
  <c r="P42" i="11" s="1"/>
  <c r="S42" i="11" l="1"/>
  <c r="U42" i="11" s="1"/>
  <c r="T42" i="11" l="1"/>
  <c r="P43" i="11" s="1"/>
  <c r="S43" i="11" l="1"/>
  <c r="U43" i="11" s="1"/>
  <c r="T43" i="11" l="1"/>
  <c r="P44" i="11" s="1"/>
  <c r="S44" i="11" l="1"/>
  <c r="U44" i="11" s="1"/>
  <c r="T44" i="11" l="1"/>
  <c r="P45" i="11" s="1"/>
  <c r="S45" i="11" s="1"/>
  <c r="U45" i="11" s="1"/>
  <c r="T45" i="11" l="1"/>
  <c r="P46" i="11" s="1"/>
  <c r="S46" i="11" s="1"/>
  <c r="U46" i="11" s="1"/>
  <c r="T46" i="11" l="1"/>
  <c r="P47" i="11" s="1"/>
  <c r="S47" i="11" l="1"/>
  <c r="U47" i="11" s="1"/>
  <c r="T47" i="11" l="1"/>
  <c r="P48" i="11" s="1"/>
  <c r="S48" i="11" s="1"/>
  <c r="U48" i="11" s="1"/>
  <c r="T48" i="11" l="1"/>
  <c r="P49" i="11" s="1"/>
  <c r="S49" i="11" l="1"/>
  <c r="U49" i="11" s="1"/>
  <c r="T49" i="11" l="1"/>
  <c r="P50" i="11" s="1"/>
  <c r="S50" i="11" l="1"/>
  <c r="U50" i="11" s="1"/>
  <c r="T50" i="11" l="1"/>
  <c r="P51" i="11" s="1"/>
  <c r="S51" i="11" l="1"/>
  <c r="U51" i="11" s="1"/>
  <c r="T51" i="11" l="1"/>
  <c r="P52" i="11" l="1"/>
  <c r="S52" i="11" l="1"/>
  <c r="U52" i="11" s="1"/>
  <c r="T52" i="11" l="1"/>
  <c r="P53" i="11" s="1"/>
  <c r="S53" i="11" s="1"/>
  <c r="U53" i="11" s="1"/>
  <c r="T53" i="11" l="1"/>
  <c r="X53" i="11" s="1"/>
  <c r="Q12" i="9" l="1"/>
  <c r="Q13" i="9"/>
  <c r="Q14" i="9"/>
  <c r="Q15" i="9"/>
  <c r="Q16" i="9"/>
  <c r="Q17" i="9"/>
  <c r="Q18" i="9"/>
  <c r="Q19" i="9"/>
  <c r="Q20" i="9"/>
  <c r="Q11" i="9"/>
  <c r="Q21" i="9" l="1"/>
  <c r="D9" i="12" l="1"/>
  <c r="P65" i="11"/>
  <c r="T65" i="11" s="1"/>
  <c r="P66" i="11" l="1"/>
  <c r="T66" i="11" s="1"/>
  <c r="P67" i="11" l="1"/>
  <c r="T67" i="11" s="1"/>
  <c r="P68" i="11" s="1"/>
  <c r="T68" i="11" s="1"/>
  <c r="P69" i="11" l="1"/>
  <c r="T69" i="11" s="1"/>
  <c r="P70" i="11" s="1"/>
  <c r="T70" i="11" s="1"/>
  <c r="X7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  <author>Orlando Barbosa Junior</author>
    <author>Felipe</author>
  </authors>
  <commentList>
    <comment ref="D7" authorId="0" shapeId="0" xr:uid="{6FEF7968-4C60-4CD6-9E18-8C916AA0602A}">
      <text>
        <r>
          <rPr>
            <sz val="9"/>
            <color indexed="81"/>
            <rFont val="Tahoma"/>
            <family val="2"/>
          </rPr>
          <t xml:space="preserve">
Em caso de distribuição interna comum a várias unidades habitacionaism utilizar o fator de simultaneidade como </t>
        </r>
        <r>
          <rPr>
            <b/>
            <sz val="9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, onde será aplicada a fórmula conforme o Anexo E da norma </t>
        </r>
        <r>
          <rPr>
            <b/>
            <sz val="9"/>
            <color indexed="81"/>
            <rFont val="Tahoma"/>
            <family val="2"/>
          </rPr>
          <t>ABNT NBR 15526</t>
        </r>
        <r>
          <rPr>
            <sz val="9"/>
            <color indexed="81"/>
            <rFont val="Tahoma"/>
            <family val="2"/>
          </rPr>
          <t xml:space="preserve">.
Para unidade dociliar única, comércio, caldeiras e outros aparelhos a gás de grande consumo, não se aplica fator de simultâneidade, portanto usar </t>
        </r>
        <r>
          <rPr>
            <b/>
            <sz val="9"/>
            <color indexed="81"/>
            <rFont val="Tahoma"/>
            <family val="2"/>
          </rPr>
          <t>NÃO</t>
        </r>
      </text>
    </comment>
    <comment ref="I11" authorId="1" shapeId="0" xr:uid="{9D114C90-37CD-4AB4-A193-18BA145D7344}">
      <text>
        <r>
          <rPr>
            <b/>
            <sz val="11"/>
            <color theme="1"/>
            <rFont val="Aptos Narrow"/>
            <family val="2"/>
            <scheme val="minor"/>
          </rPr>
          <t>INDIQUE QUAL A CONEXÃO ENTRE OS PONTOS</t>
        </r>
      </text>
    </comment>
    <comment ref="I12" authorId="2" shapeId="0" xr:uid="{3A50B7FC-F440-4164-940F-C3549CCA5689}">
      <text>
        <r>
          <rPr>
            <b/>
            <sz val="9"/>
            <color indexed="81"/>
            <rFont val="Tahoma"/>
            <family val="2"/>
          </rPr>
          <t xml:space="preserve">
INDIQUE QUAL A CONEXÃO ENTRE OS PONTOS</t>
        </r>
      </text>
    </comment>
    <comment ref="S59" authorId="2" shapeId="0" xr:uid="{36BB7B95-0D24-4195-9E87-DE2ACC5281D5}">
      <text>
        <r>
          <rPr>
            <b/>
            <sz val="9"/>
            <color indexed="81"/>
            <rFont val="Tahoma"/>
            <family val="2"/>
          </rPr>
          <t xml:space="preserve">PREENCHER ESTE CAMPUS SOMENTE SE O REGULADOR DE 2° ESTÁGIO ESTIVER NA ENTRADA DO MEDIDOR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0" authorId="1" shapeId="0" xr:uid="{9BD025A6-CD0E-4BE6-8589-C8905AC8F8AB}">
      <text>
        <r>
          <rPr>
            <b/>
            <sz val="11"/>
            <color theme="1"/>
            <rFont val="Aptos Narrow"/>
            <family val="2"/>
            <scheme val="minor"/>
          </rPr>
          <t>INDIQUE QUAL A CONEXÃO ENTRE OS PONTOS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  <author>Orlando Barbosa Junior</author>
    <author>Felipe</author>
  </authors>
  <commentList>
    <comment ref="D7" authorId="0" shapeId="0" xr:uid="{82F94B03-CEF2-43DF-9C41-6EBD59FF8598}">
      <text>
        <r>
          <rPr>
            <sz val="9"/>
            <color indexed="81"/>
            <rFont val="Tahoma"/>
            <family val="2"/>
          </rPr>
          <t xml:space="preserve">
Em caso de distribuição interna comum a várias unidades habitacionaism utilizar o fator de simultaneidade como </t>
        </r>
        <r>
          <rPr>
            <b/>
            <sz val="9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, onde será aplicada a fórmula conforme o Anexo E da norma </t>
        </r>
        <r>
          <rPr>
            <b/>
            <sz val="9"/>
            <color indexed="81"/>
            <rFont val="Tahoma"/>
            <family val="2"/>
          </rPr>
          <t>ABNT NBR 15526</t>
        </r>
        <r>
          <rPr>
            <sz val="9"/>
            <color indexed="81"/>
            <rFont val="Tahoma"/>
            <family val="2"/>
          </rPr>
          <t xml:space="preserve">.
Para unidade dociliar única, comércio, caldeiras e outros aparelhos a gás de grande consumo, não se aplica fator de simultâneidade, portanto usar </t>
        </r>
        <r>
          <rPr>
            <b/>
            <sz val="9"/>
            <color indexed="81"/>
            <rFont val="Tahoma"/>
            <family val="2"/>
          </rPr>
          <t>NÃO</t>
        </r>
      </text>
    </comment>
    <comment ref="I11" authorId="1" shapeId="0" xr:uid="{42A488F9-174E-4B62-A627-ACE319024398}">
      <text>
        <r>
          <rPr>
            <b/>
            <sz val="11"/>
            <color theme="1"/>
            <rFont val="Aptos Narrow"/>
            <family val="2"/>
            <scheme val="minor"/>
          </rPr>
          <t>INDIQUE QUAL A CONEXÃO ENTRE OS PONTOS</t>
        </r>
      </text>
    </comment>
    <comment ref="S59" authorId="2" shapeId="0" xr:uid="{14594996-730E-4FDA-AF66-3C87DABBE61C}">
      <text>
        <r>
          <rPr>
            <b/>
            <sz val="9"/>
            <color indexed="81"/>
            <rFont val="Tahoma"/>
            <family val="2"/>
          </rPr>
          <t xml:space="preserve">
PREENCHER A PRESSÃO APÓS O REGULADOR DE 2 ESTÁGIO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0" authorId="1" shapeId="0" xr:uid="{83DD8DB1-D294-4DE4-B2EE-0FF1E2AA1DBF}">
      <text>
        <r>
          <rPr>
            <b/>
            <sz val="11"/>
            <color theme="1"/>
            <rFont val="Aptos Narrow"/>
            <family val="2"/>
            <scheme val="minor"/>
          </rPr>
          <t>INDIQUE QUAL A CONEXÃO ENTRE OS PONTOS</t>
        </r>
      </text>
    </comment>
  </commentList>
</comments>
</file>

<file path=xl/sharedStrings.xml><?xml version="1.0" encoding="utf-8"?>
<sst xmlns="http://schemas.openxmlformats.org/spreadsheetml/2006/main" count="508" uniqueCount="221">
  <si>
    <t>INICIO</t>
  </si>
  <si>
    <t>AJUDA</t>
  </si>
  <si>
    <t>DIMENSIONAR - GLP</t>
  </si>
  <si>
    <t xml:space="preserve">          DIMENSIONAMENTO DE GÁS</t>
  </si>
  <si>
    <t>DIMENSIONAR - GN</t>
  </si>
  <si>
    <t>TRECHO INICIAL</t>
  </si>
  <si>
    <t>A</t>
  </si>
  <si>
    <t>B</t>
  </si>
  <si>
    <t>REFERÊNCIAS</t>
  </si>
  <si>
    <t>CONECTOR MACHO</t>
  </si>
  <si>
    <t>CONECTOR FÊMEA</t>
  </si>
  <si>
    <t>CONECTOR FÊMEA GIRATÓRIO</t>
  </si>
  <si>
    <t>COTOVELO</t>
  </si>
  <si>
    <t>COTOVELO MACHO</t>
  </si>
  <si>
    <t>COTOVELO FÊMEA</t>
  </si>
  <si>
    <t>TEE - PASSAGEM DIRETA</t>
  </si>
  <si>
    <t>TEE - PASSAGEM ANGULAR</t>
  </si>
  <si>
    <t>TEE - ENTRADA CENTRAL</t>
  </si>
  <si>
    <t>UNIÃO OU REDUÇÃO</t>
  </si>
  <si>
    <t>CONEXÃO</t>
  </si>
  <si>
    <t>FATOR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</si>
  <si>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</si>
  <si>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</si>
  <si>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</si>
  <si>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</si>
  <si>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</si>
  <si>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</si>
  <si>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</si>
  <si>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</si>
  <si>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</si>
  <si>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</si>
  <si>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</si>
  <si>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</si>
  <si>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</si>
  <si>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</si>
  <si>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</si>
  <si>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</si>
  <si>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</si>
  <si>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</si>
  <si>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V</t>
  </si>
  <si>
    <t>W</t>
  </si>
  <si>
    <t>X</t>
  </si>
  <si>
    <t>Y</t>
  </si>
  <si>
    <t>T</t>
  </si>
  <si>
    <t>Z</t>
  </si>
  <si>
    <t>AA</t>
  </si>
  <si>
    <t>BB</t>
  </si>
  <si>
    <t>TRECHO FINAL</t>
  </si>
  <si>
    <t>COMPRIMENTO LINEAR (M)</t>
  </si>
  <si>
    <t>MODELO DE CONEXÃO</t>
  </si>
  <si>
    <t>AQUECEDOR DE PASSAGEM - 6L</t>
  </si>
  <si>
    <t>AQUECEDOR DE PASSAGEM - 7,5L</t>
  </si>
  <si>
    <t>AQUECEDOR DE PASSAGEM - 8L</t>
  </si>
  <si>
    <t>AQUECEDOR DE PASSAGEM 10L</t>
  </si>
  <si>
    <t>AQUECEDOR DE PASSAGEM 12L</t>
  </si>
  <si>
    <t>AQUECEDOR DE PASSAGEM 13L</t>
  </si>
  <si>
    <t>AQUECEDOR DE PASSAGEM - 15L</t>
  </si>
  <si>
    <t>AQUECEDOR DE PASSAGEM - 16L</t>
  </si>
  <si>
    <t>AQUECEDOR DE PASSAGEM - 18L</t>
  </si>
  <si>
    <t>AQUECEDOR DE PASSAGEM - 20L</t>
  </si>
  <si>
    <t>AQUECEDOR DE PASSAGEM - 23L</t>
  </si>
  <si>
    <t>AQUECEDOR DE PASSAGEM - 25L</t>
  </si>
  <si>
    <t>AQUECEDOR DE PASSAGEM - 30L</t>
  </si>
  <si>
    <t>AQUECEDOR DE PASSAGEM - 32L</t>
  </si>
  <si>
    <t>AQUECEDOR DE PASSAGEM - 35L</t>
  </si>
  <si>
    <t>AQUECEDOR DE PASSAGEM - 38L</t>
  </si>
  <si>
    <t>AQUECEDOR DE PASSAGEM - 42L</t>
  </si>
  <si>
    <t>AQUECEDOR DE PASSAGEM - 44L</t>
  </si>
  <si>
    <t>AQUECEDOR DE PASSAGEM - 47,5L</t>
  </si>
  <si>
    <t>AQUECEDOR DE ACUMULAÇÃO - 50L</t>
  </si>
  <si>
    <t>AQUECEDOR DE ACUMULAÇÃO - 75L</t>
  </si>
  <si>
    <t>AQUECEDOR DE ACUMULAÇÃO - 110L</t>
  </si>
  <si>
    <t>AQUECEDOR DE ACUMULAÇÃO - 150L</t>
  </si>
  <si>
    <t>AQUECEDOR DE ACUMULAÇÃO - 200L</t>
  </si>
  <si>
    <t>AQUECEDOR DE ACUMULAÇÃO - 250L</t>
  </si>
  <si>
    <t>AQUECEDOR DE ACUMULAÇÃO - 300L</t>
  </si>
  <si>
    <t>AQUECEDOR DE AMBIENTE</t>
  </si>
  <si>
    <t>FOGÃO - 2 BOCAS S/ FORNO - PORTÁTIL</t>
  </si>
  <si>
    <t>FOGÃO - 2 BOCAS S/ FORNO - BANCADA</t>
  </si>
  <si>
    <t>FOGÃO - 4 BOCAS S/ FORNO</t>
  </si>
  <si>
    <t>FOGÃO - 4 BOCAS C/ FORNO</t>
  </si>
  <si>
    <t>FOGÃO - 5 BOCAS S/ FORNO</t>
  </si>
  <si>
    <t>FOGÃO - 5 BOCAS C/ FORNO</t>
  </si>
  <si>
    <t>FOGÃO - 6 BOCAS S/ FORNO</t>
  </si>
  <si>
    <t>FOGÃO - 6 BOCAS C/ FORNO</t>
  </si>
  <si>
    <t>FORNO DE EMBUTIR</t>
  </si>
  <si>
    <t>LAREIRA</t>
  </si>
  <si>
    <t>REFRIGERADOR</t>
  </si>
  <si>
    <t>SAUNA</t>
  </si>
  <si>
    <t>SECADORA</t>
  </si>
  <si>
    <t>APARELHO</t>
  </si>
  <si>
    <t>POTENCIA (Kcal/h)</t>
  </si>
  <si>
    <t>FATOR ("ZITA")</t>
  </si>
  <si>
    <t>FATOR DE ATRITO</t>
  </si>
  <si>
    <t>COMPRIMENTO EQUIVALENTE (M)</t>
  </si>
  <si>
    <t>COMPRIMENTO TOTAL (M)</t>
  </si>
  <si>
    <t>INTERNO</t>
  </si>
  <si>
    <t>EXTERNO</t>
  </si>
  <si>
    <t>TUBOS</t>
  </si>
  <si>
    <t>DIÂMETRO EXTERNO TUBO (MM)</t>
  </si>
  <si>
    <t>DIÂMETRO INTERNO TUBO (MM)</t>
  </si>
  <si>
    <t>PERDA DE PRESSÃO (KPA)</t>
  </si>
  <si>
    <t>PERDA DE PRESSÃO (KPA/M)</t>
  </si>
  <si>
    <t>VELOCIDADE</t>
  </si>
  <si>
    <t>CONSIDERAÇÕES</t>
  </si>
  <si>
    <t>PRESSÃO NO PONTO DE CONSUMO</t>
  </si>
  <si>
    <t>POTÊNCIA TOTAL INSTALADA 
(KCAL/H)</t>
  </si>
  <si>
    <t>FATOR SIMULTÂNEIDADE 
(%)</t>
  </si>
  <si>
    <t>POTÊNCIA ADOTADA INSTALADA 
(KCAL/H)</t>
  </si>
  <si>
    <t>VAZÃO ADOTADA 
(M³/H)</t>
  </si>
  <si>
    <t>PRESSÃO INICIAL 
(KPA)</t>
  </si>
  <si>
    <t>PRESSÃO FINAL 
(KPA)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</si>
  <si>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</si>
  <si>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</si>
  <si>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</si>
  <si>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</si>
  <si>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</si>
  <si>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</si>
  <si>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</si>
  <si>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</si>
  <si>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</si>
  <si>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</si>
  <si>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</si>
  <si>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</si>
  <si>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>OO</t>
  </si>
  <si>
    <t>DIMENSIONAMENTO ENTRE EQUIPAMENTOS, REGULADOR DE ESTÁGIO E/OU ESTABILIZADOR</t>
  </si>
  <si>
    <t>DIMENSIONAMENTO DA REDE ENTRE O EQUIPAMENTO AO APARELHO DE CONSUMO</t>
  </si>
  <si>
    <t>PRESSÃO APÓS O REGULADOR DE ESTÁGIO</t>
  </si>
  <si>
    <t>KPA</t>
  </si>
  <si>
    <t>PERDA DE CARGA MÁXIMA ADMÍSSIVEL</t>
  </si>
  <si>
    <t>PRESSÃO MINIMA NA ENTRADA DO REGULADOR (KPA)</t>
  </si>
  <si>
    <t>PRESSÃO MINIMA NO PONTO DE CONSUMO (KPA)</t>
  </si>
  <si>
    <t>PARA OBTER UM DIMENSIONAMENTO PRECISO, SOLICITAMOS QUE CONSULTE O CONSUMO DO APARELHO A GÁS, POIS PODEM OCORRER VARIAÇÕES DE POTÊNCIA DEPENDENDO DO FABRICANTE E MODELO.</t>
  </si>
  <si>
    <t>QUANTIDADE</t>
  </si>
  <si>
    <t>CONSUMO DOS APARELHOS A GÁS</t>
  </si>
  <si>
    <t>VELOCIDADE
(M/S)</t>
  </si>
  <si>
    <t>TRECHO (M)
ASCENDENTE (-)
DESCENDENTE (+)</t>
  </si>
  <si>
    <t>TRECHO (KPA)
ASCENDENTE (-)
DESCENDENTE (+)</t>
  </si>
  <si>
    <t>VAZÃO ADOTADA</t>
  </si>
  <si>
    <t>FATOR DE SIMULTANEIDADE ?</t>
  </si>
  <si>
    <t>POTÊNCIA TOTAL INSTALADA</t>
  </si>
  <si>
    <t>FATOR SIMULTANEIDADE</t>
  </si>
  <si>
    <t>POTÊNCIA ADOTADA INSTALADA</t>
  </si>
  <si>
    <t>COMPRIMENTO LINEAR</t>
  </si>
  <si>
    <t>ZITA</t>
  </si>
  <si>
    <t>COMPRIMENTO EQUIVALENTE</t>
  </si>
  <si>
    <t>COMPRIMENTO TOTAL</t>
  </si>
  <si>
    <t>DIÂMETRO EXTERNO</t>
  </si>
  <si>
    <t>DIÂMETRO INTERNO</t>
  </si>
  <si>
    <t>PRESSÃO INICIAL</t>
  </si>
  <si>
    <t xml:space="preserve">TRECHO ASCENDENTE (+)OU DESCENDENTE (-) </t>
  </si>
  <si>
    <t>PERDA DE PRESSÃO</t>
  </si>
  <si>
    <t>PRESSÃO FINAL</t>
  </si>
  <si>
    <t xml:space="preserve">A </t>
  </si>
  <si>
    <r>
      <t xml:space="preserve">DIMENSIONAMENTO PARA REDE INTERNA DE GÁS COMBUSTIVEL - GN </t>
    </r>
    <r>
      <rPr>
        <i/>
        <sz val="18"/>
        <color theme="0"/>
        <rFont val="Aptos Narrow"/>
        <family val="2"/>
        <scheme val="minor"/>
      </rPr>
      <t>(GÁS NATURAL)</t>
    </r>
  </si>
  <si>
    <r>
      <t xml:space="preserve">DIMENSIONAMENTO PARA REDE INTERNA DE GÁS COMBUSTIVEL - GLP </t>
    </r>
    <r>
      <rPr>
        <i/>
        <sz val="18"/>
        <color theme="0"/>
        <rFont val="Aptos Narrow"/>
        <family val="2"/>
        <scheme val="minor"/>
      </rPr>
      <t>(GÁS LIQUEFEITO DE PETRÓLEO)</t>
    </r>
  </si>
  <si>
    <t>TRECHO (M)
ASCENDENTE (+)
DESCENDENTE (-)</t>
  </si>
  <si>
    <t>TRECHO (KPA)
ASCENDENTE (+)
DESCENDENTE (-)</t>
  </si>
  <si>
    <t>DIMENSIONADOR - GN</t>
  </si>
  <si>
    <t>DIMENSIONADOR - GLP</t>
  </si>
  <si>
    <t>TEE MACHO - PASSAGEM ANGULAR</t>
  </si>
  <si>
    <t>TEE FÊMEA - PASSAGEM ANGULAR</t>
  </si>
  <si>
    <t>TEE FÊMEA - ENTRADA CENTRAL</t>
  </si>
  <si>
    <t>TEE MACHO - ENTRADA CENTRAL</t>
  </si>
  <si>
    <t>TEE MACHO - PASSAGEM DIRETA</t>
  </si>
  <si>
    <t>TEE FÊMEA - PASSAGEM DIRETA</t>
  </si>
  <si>
    <t>GN</t>
  </si>
  <si>
    <t>GLP</t>
  </si>
  <si>
    <t>REFERÊNCIA</t>
  </si>
  <si>
    <t>SIM</t>
  </si>
  <si>
    <r>
      <t xml:space="preserve">A base de cálculo e as fórmulas utilizadas nessa planilha respeitam a norma </t>
    </r>
    <r>
      <rPr>
        <b/>
        <sz val="11"/>
        <color theme="1" tint="0.34998626667073579"/>
        <rFont val="Aptos Narrow"/>
        <family val="2"/>
        <scheme val="minor"/>
      </rPr>
      <t>ABNT NBR 15526</t>
    </r>
    <r>
      <rPr>
        <sz val="11"/>
        <color theme="1" tint="0.34998626667073579"/>
        <rFont val="Aptos Narrow"/>
        <family val="2"/>
        <scheme val="minor"/>
      </rPr>
      <t xml:space="preserve"> - Redes de Distribuição Interna para Gases Combustíveis em Instalações Residênciais.
Esse tópico de </t>
    </r>
    <r>
      <rPr>
        <b/>
        <sz val="11"/>
        <color theme="1" tint="0.34998626667073579"/>
        <rFont val="Aptos Narrow"/>
        <family val="2"/>
        <scheme val="minor"/>
      </rPr>
      <t>AJUDA</t>
    </r>
    <r>
      <rPr>
        <sz val="11"/>
        <color theme="1" tint="0.34998626667073579"/>
        <rFont val="Aptos Narrow"/>
        <family val="2"/>
        <scheme val="minor"/>
      </rPr>
      <t xml:space="preserve"> usará um exemplo prático para ilustrar a forma de uso da planilha de Dimensionamento EMMETI.</t>
    </r>
  </si>
  <si>
    <t>Dadas as informações abaixo:</t>
  </si>
  <si>
    <t>10 pavimentos (pé direito de 3m)</t>
  </si>
  <si>
    <t>4 unidades por pavimento</t>
  </si>
  <si>
    <t>A unidade possui 2 pontos de utilização:</t>
  </si>
  <si>
    <t>1 Fogão 4 bocas c/ forno;</t>
  </si>
  <si>
    <t>1 Fogão 2 bocas s/ forno;</t>
  </si>
  <si>
    <r>
      <rPr>
        <b/>
        <sz val="11"/>
        <color theme="1" tint="0.34998626667073579"/>
        <rFont val="Aptos Narrow"/>
        <family val="2"/>
        <scheme val="minor"/>
      </rPr>
      <t xml:space="preserve">No dimensionamento da rede de distribuição interna, devem ser consideradas as seguintes condições:
</t>
    </r>
    <r>
      <rPr>
        <sz val="11"/>
        <color theme="1" tint="0.34998626667073579"/>
        <rFont val="Aptos Narrow"/>
        <family val="2"/>
        <scheme val="minor"/>
      </rPr>
      <t xml:space="preserve">
Perda de carga máxima admitida para trecho de rede que alimenta diretamente um aparelho a gás : </t>
    </r>
    <r>
      <rPr>
        <b/>
        <sz val="11"/>
        <color theme="1" tint="0.34998626667073579"/>
        <rFont val="Aptos Narrow"/>
        <family val="2"/>
        <scheme val="minor"/>
      </rPr>
      <t xml:space="preserve">10% </t>
    </r>
    <r>
      <rPr>
        <sz val="11"/>
        <color theme="1" tint="0.34998626667073579"/>
        <rFont val="Aptos Narrow"/>
        <family val="2"/>
        <scheme val="minor"/>
      </rPr>
      <t xml:space="preserve">da pressão de operação, devendo ser respeitada a faixa de pressão de funcionamento do aparelho de gás.
Perda de carga máxima admitida para trecho de rede que alimenta um regulador de pressão: </t>
    </r>
    <r>
      <rPr>
        <b/>
        <sz val="11"/>
        <color theme="1" tint="0.34998626667073579"/>
        <rFont val="Aptos Narrow"/>
        <family val="2"/>
        <scheme val="minor"/>
      </rPr>
      <t>30%</t>
    </r>
    <r>
      <rPr>
        <sz val="11"/>
        <color theme="1" tint="0.34998626667073579"/>
        <rFont val="Aptos Narrow"/>
        <family val="2"/>
        <scheme val="minor"/>
      </rPr>
      <t xml:space="preserve"> da pressão de operação, devendo ser respeitada a faixa de pressão de funcionamento do regulador de pressão.
Velocidade máxima admitida para rede: </t>
    </r>
    <r>
      <rPr>
        <b/>
        <sz val="11"/>
        <color theme="1" tint="0.34998626667073579"/>
        <rFont val="Aptos Narrow"/>
        <family val="2"/>
        <scheme val="minor"/>
      </rPr>
      <t>20m/s</t>
    </r>
    <r>
      <rPr>
        <sz val="11"/>
        <color theme="1" tint="0.34998626667073579"/>
        <rFont val="Aptos Narrow"/>
        <family val="2"/>
        <scheme val="minor"/>
      </rPr>
      <t>.</t>
    </r>
  </si>
  <si>
    <t>1° PASSO</t>
  </si>
  <si>
    <t>AQUECEDOR DE ACUMULAÇÃO - 100L</t>
  </si>
  <si>
    <t>Anexo D - Norma 15526</t>
  </si>
  <si>
    <r>
      <t xml:space="preserve">Realizar o cálculo da demanda (Kcal/h) com auxilio da aba </t>
    </r>
    <r>
      <rPr>
        <b/>
        <sz val="11"/>
        <color theme="1" tint="0.34998626667073579"/>
        <rFont val="Aptos Narrow"/>
        <family val="2"/>
        <scheme val="minor"/>
      </rPr>
      <t>REFERÊNCIA</t>
    </r>
    <r>
      <rPr>
        <sz val="11"/>
        <color theme="1" tint="0.34998626667073579"/>
        <rFont val="Aptos Narrow"/>
        <family val="2"/>
        <scheme val="minor"/>
      </rPr>
      <t xml:space="preserve"> da Planilha de Dimensionamento.</t>
    </r>
  </si>
  <si>
    <t>Por unidade</t>
  </si>
  <si>
    <t>11.782 Kcal/h</t>
  </si>
  <si>
    <t>Por pavimento</t>
  </si>
  <si>
    <r>
      <t xml:space="preserve">11.782 Kcal/h   X  4  =  </t>
    </r>
    <r>
      <rPr>
        <b/>
        <sz val="11"/>
        <color theme="1" tint="0.34998626667073579"/>
        <rFont val="Aptos Narrow"/>
        <family val="2"/>
        <scheme val="minor"/>
      </rPr>
      <t>47.128 Kcal/h</t>
    </r>
  </si>
  <si>
    <t>Torre</t>
  </si>
  <si>
    <r>
      <t xml:space="preserve">47.128 Kcal/h   X  10  =  </t>
    </r>
    <r>
      <rPr>
        <b/>
        <sz val="11"/>
        <color theme="1" tint="0.34998626667073579"/>
        <rFont val="Aptos Narrow"/>
        <family val="2"/>
        <scheme val="minor"/>
      </rPr>
      <t>471.280 Kcal/h</t>
    </r>
  </si>
  <si>
    <t>2° PASSO</t>
  </si>
  <si>
    <t>PP</t>
  </si>
  <si>
    <r>
      <t xml:space="preserve">Definir o fator de simultâneidade entre os equipamentos. Lembrar que, para redes comerciais, unidade domiciliar única, caldeiras ou aparelhos a gás de grande consumo, escolher a opção </t>
    </r>
    <r>
      <rPr>
        <b/>
        <sz val="11"/>
        <color theme="1" tint="0.34998626667073579"/>
        <rFont val="Aptos Narrow"/>
        <family val="2"/>
        <scheme val="minor"/>
      </rPr>
      <t>NÃO</t>
    </r>
    <r>
      <rPr>
        <sz val="11"/>
        <color theme="1" tint="0.34998626667073579"/>
        <rFont val="Aptos Narrow"/>
        <family val="2"/>
        <scheme val="minor"/>
      </rPr>
      <t xml:space="preserve"> no campo de Fator de Simultâneidade.</t>
    </r>
  </si>
  <si>
    <t>3° PASSO</t>
  </si>
  <si>
    <t>Apontar a Pressão Inicial entregue pela concessionaria, ou dos recipientes de armazenamento de gás (Botijões de Gás).</t>
  </si>
  <si>
    <r>
      <t xml:space="preserve">Instalação em </t>
    </r>
    <r>
      <rPr>
        <b/>
        <sz val="11"/>
        <color theme="1" tint="0.34998626667073579"/>
        <rFont val="Aptos Narrow"/>
        <family val="2"/>
        <scheme val="minor"/>
      </rPr>
      <t>GLP</t>
    </r>
  </si>
  <si>
    <t>Preencher o valor total da demanda no primeiro campo de Potência Total Instalada (Kcal/h).</t>
  </si>
  <si>
    <t>4° PASSO</t>
  </si>
  <si>
    <t>Comprimento</t>
  </si>
  <si>
    <t>55 metros</t>
  </si>
  <si>
    <t>Preencher com o valor encontrado no campo Comprimento Linear (m).</t>
  </si>
  <si>
    <t>5° PASSO</t>
  </si>
  <si>
    <r>
      <t xml:space="preserve">No dimensionamento, cada trecho do encaminhaneto que possui 1 segmento de tubo + 1 conexão, é considerado, nomeando-o, por exemplo, como trecho AB, BC e assim por diante. 
No nosso exemplo, neste passo, já possuimos o comprimento total do trecho de implantação que consideramos como </t>
    </r>
    <r>
      <rPr>
        <b/>
        <sz val="11"/>
        <color theme="1" tint="0.34998626667073579"/>
        <rFont val="Aptos Narrow"/>
        <family val="2"/>
        <scheme val="minor"/>
      </rPr>
      <t>"AB"</t>
    </r>
    <r>
      <rPr>
        <sz val="11"/>
        <color theme="1" tint="0.34998626667073579"/>
        <rFont val="Aptos Narrow"/>
        <family val="2"/>
        <scheme val="minor"/>
      </rPr>
      <t>, faltando indicar a conexão que compõe esse trecho. Lembrando que a primeira conexão do abrigo é descartado.</t>
    </r>
  </si>
  <si>
    <t>6° PASSO</t>
  </si>
  <si>
    <t>Considerado</t>
  </si>
  <si>
    <t>- 4 metros ascendente</t>
  </si>
  <si>
    <t>Preencher com o valor do trecho descendente ou ascendente com a identificação do sinal adequado (m).</t>
  </si>
  <si>
    <t>7° PASSO</t>
  </si>
  <si>
    <t>Repetir o procedimento para todos os trechos até o regulador de 2° estágio mais crítico (mais longe).
A cada pavimento que se avança no dimensionamento, o valor total da potencia total reduz.</t>
  </si>
  <si>
    <r>
      <t xml:space="preserve">Para que o valor da pressão no ponto de consumo seja apresentado, é necessário que o campo "Trecho Final" seja ajustado com um valor numérico. Como no exemplo abaixo, com número </t>
    </r>
    <r>
      <rPr>
        <b/>
        <sz val="11"/>
        <color theme="1" tint="0.34998626667073579"/>
        <rFont val="Aptos Narrow"/>
        <family val="2"/>
        <scheme val="minor"/>
      </rPr>
      <t>1</t>
    </r>
    <r>
      <rPr>
        <sz val="11"/>
        <color theme="1" tint="0.34998626667073579"/>
        <rFont val="Aptos Narrow"/>
        <family val="2"/>
        <scheme val="minor"/>
      </rPr>
      <t>.</t>
    </r>
  </si>
  <si>
    <t>8° PASSO</t>
  </si>
  <si>
    <t xml:space="preserve">O campo Diâmetro Externo do Tubo permite que seja encontrado a opção mais viável, tanto técnica como finaceiramente para o dimensionamento.
Basta ajustar os diâmetros dos tubos dos trechos, usando como parâmetro o campo de considerações e a escala gradual de cor no campo Perda de Pressão. </t>
  </si>
  <si>
    <t>9° PASSO</t>
  </si>
  <si>
    <t>15 metros</t>
  </si>
  <si>
    <t>10° PASSO</t>
  </si>
  <si>
    <t>Neste passo será informado a pressão após o Regulador de estágio (nesse exemplo - Regulador de 2º Estagio).</t>
  </si>
  <si>
    <t>11° PASSO</t>
  </si>
  <si>
    <t>Neste passo será dimensionado  a rede secundária, o trecho entre o regulador de segundo estágio e o ponto(s) de consumo(s).
O valor da soma dos aparelhos do apartamento será inserido no campo de Potência Total Instalada, o comprimentro encontrado entre medidor/regulador e a primeira conexão inserida no campo Comprimento Linear.
A conexão também será considerada nesse passo, assim como o valor do trecho ascendente/descendente (se houver).</t>
  </si>
  <si>
    <t>Os trechos finais que correspondem ao pontos de utilização serão alterados para números, para que o valor do campo Pressão do Ponto de Consumo seja mostrado, o valor do comprimento do trecho entre a primeira conexão até o ponto de consumo também será inserido, e a inclusão dos trechos acendentes e descendentes e ascendentes também devem ser inseridos.</t>
  </si>
  <si>
    <t>Medir o comprimento linear do trecho de Implantação (entre o abrigo e o pé da prumada). Considerar como trecho linear todo o encaminhamento da tubulação, seja horizontal ou vertical.</t>
  </si>
  <si>
    <r>
      <t>Considerar o trecho ascendente ou descendente dentro do trecho "</t>
    </r>
    <r>
      <rPr>
        <b/>
        <sz val="11"/>
        <color theme="1" tint="0.34998626667073579"/>
        <rFont val="Aptos Narrow"/>
        <family val="2"/>
        <scheme val="minor"/>
      </rPr>
      <t>AB</t>
    </r>
    <r>
      <rPr>
        <sz val="11"/>
        <color theme="1" tint="0.34998626667073579"/>
        <rFont val="Aptos Narrow"/>
        <family val="2"/>
        <scheme val="minor"/>
      </rPr>
      <t xml:space="preserve">". 
O trecho ascendente e descendente varia de acordo com o tipo do gás combustivel. Por exemplo, o gás </t>
    </r>
    <r>
      <rPr>
        <b/>
        <sz val="11"/>
        <color theme="1" tint="0.34998626667073579"/>
        <rFont val="Aptos Narrow"/>
        <family val="2"/>
        <scheme val="minor"/>
      </rPr>
      <t>GN</t>
    </r>
    <r>
      <rPr>
        <sz val="11"/>
        <color theme="1" tint="0.34998626667073579"/>
        <rFont val="Aptos Narrow"/>
        <family val="2"/>
        <scheme val="minor"/>
      </rPr>
      <t xml:space="preserve"> é mais leve que o </t>
    </r>
    <r>
      <rPr>
        <b/>
        <sz val="11"/>
        <color theme="1" tint="0.34998626667073579"/>
        <rFont val="Aptos Narrow"/>
        <family val="2"/>
        <scheme val="minor"/>
      </rPr>
      <t>GLP</t>
    </r>
    <r>
      <rPr>
        <sz val="11"/>
        <color theme="1" tint="0.34998626667073579"/>
        <rFont val="Aptos Narrow"/>
        <family val="2"/>
        <scheme val="minor"/>
      </rPr>
      <t xml:space="preserve">, assim, ele tem menos esforço para se mover para cima num trecho vertical, ao contrário do </t>
    </r>
    <r>
      <rPr>
        <b/>
        <sz val="11"/>
        <color theme="1" tint="0.34998626667073579"/>
        <rFont val="Aptos Narrow"/>
        <family val="2"/>
        <scheme val="minor"/>
      </rPr>
      <t>GLP</t>
    </r>
    <r>
      <rPr>
        <sz val="11"/>
        <color theme="1" tint="0.34998626667073579"/>
        <rFont val="Aptos Narrow"/>
        <family val="2"/>
        <scheme val="minor"/>
      </rPr>
      <t xml:space="preserve"> que precisa de mais esforço para fazer o mesmo movimento, em contrapartida, o </t>
    </r>
    <r>
      <rPr>
        <b/>
        <sz val="11"/>
        <color theme="1" tint="0.34998626667073579"/>
        <rFont val="Aptos Narrow"/>
        <family val="2"/>
        <scheme val="minor"/>
      </rPr>
      <t>GLP</t>
    </r>
    <r>
      <rPr>
        <sz val="11"/>
        <color theme="1" tint="0.34998626667073579"/>
        <rFont val="Aptos Narrow"/>
        <family val="2"/>
        <scheme val="minor"/>
      </rPr>
      <t xml:space="preserve"> tem mais facilidade para descer no trecho vertical. Assim, no campo que é destinado para apontar o comprimento do trecho ascendente/descendente, o sinal de positivo (</t>
    </r>
    <r>
      <rPr>
        <b/>
        <sz val="11"/>
        <color theme="1" tint="0.34998626667073579"/>
        <rFont val="Aptos Narrow"/>
        <family val="2"/>
        <scheme val="minor"/>
      </rPr>
      <t>+</t>
    </r>
    <r>
      <rPr>
        <sz val="11"/>
        <color theme="1" tint="0.34998626667073579"/>
        <rFont val="Aptos Narrow"/>
        <family val="2"/>
        <scheme val="minor"/>
      </rPr>
      <t>) e de negativo (</t>
    </r>
    <r>
      <rPr>
        <b/>
        <sz val="11"/>
        <color theme="1" tint="0.34998626667073579"/>
        <rFont val="Aptos Narrow"/>
        <family val="2"/>
        <scheme val="minor"/>
      </rPr>
      <t>-</t>
    </r>
    <r>
      <rPr>
        <sz val="11"/>
        <color theme="1" tint="0.34998626667073579"/>
        <rFont val="Aptos Narrow"/>
        <family val="2"/>
        <scheme val="minor"/>
      </rPr>
      <t xml:space="preserve">) correspode a forma que o gás se comporta nessa situação de subida ou descida.  </t>
    </r>
  </si>
  <si>
    <t>No nosso exemplo, a prumada dimensionada ficou com tubulação de diâmetros de 26mm à 16mm, para potencia total instalada, e os trechos internos ao apartamento com tubulação de 16mm.
O processo vale também para dimensionamento em rede de gás GN.</t>
  </si>
  <si>
    <r>
      <t xml:space="preserve">O programa foi verificado e testado com extremo cuidado por parte da </t>
    </r>
    <r>
      <rPr>
        <b/>
        <sz val="11"/>
        <color theme="1" tint="0.499984740745262"/>
        <rFont val="Aptos Narrow"/>
        <family val="2"/>
        <scheme val="minor"/>
      </rPr>
      <t>EMMETI</t>
    </r>
    <r>
      <rPr>
        <sz val="11"/>
        <color theme="1" tint="0.499984740745262"/>
        <rFont val="Aptos Narrow"/>
        <family val="2"/>
        <scheme val="minor"/>
      </rPr>
      <t xml:space="preserve">, com a finalidade de verificar a exatidão dos resultados. Todavia, a responsabilidade final e o bom senso do método de cálculo proposto e dos resultados obtidos são de responsabilidade do usuário.
O usuário aceita que em um programa podem acontecer problemas e reconhece que foi prévio e especificamente avisado.
A </t>
    </r>
    <r>
      <rPr>
        <b/>
        <sz val="11"/>
        <color theme="1" tint="0.499984740745262"/>
        <rFont val="Aptos Narrow"/>
        <family val="2"/>
        <scheme val="minor"/>
      </rPr>
      <t>EMMETI</t>
    </r>
    <r>
      <rPr>
        <sz val="11"/>
        <color theme="1" tint="0.499984740745262"/>
        <rFont val="Aptos Narrow"/>
        <family val="2"/>
        <scheme val="minor"/>
      </rPr>
      <t xml:space="preserve"> não será responsável por eventuais danos de qualquer natureza relacionados à utilização do programa.
A </t>
    </r>
    <r>
      <rPr>
        <b/>
        <sz val="11"/>
        <color theme="1" tint="0.499984740745262"/>
        <rFont val="Aptos Narrow"/>
        <family val="2"/>
        <scheme val="minor"/>
      </rPr>
      <t>EMMETI</t>
    </r>
    <r>
      <rPr>
        <sz val="11"/>
        <color theme="1" tint="0.499984740745262"/>
        <rFont val="Aptos Narrow"/>
        <family val="2"/>
        <scheme val="minor"/>
      </rPr>
      <t xml:space="preserve"> reserva-se no direito de efetuar modificações a qualquer momento sem prévio aviso. 
Os manuais dos materiais de </t>
    </r>
    <r>
      <rPr>
        <b/>
        <sz val="11"/>
        <color theme="1" tint="0.499984740745262"/>
        <rFont val="Aptos Narrow"/>
        <family val="2"/>
        <scheme val="minor"/>
      </rPr>
      <t>Gás Multicamadas EMMETI</t>
    </r>
    <r>
      <rPr>
        <sz val="11"/>
        <color theme="1" tint="0.499984740745262"/>
        <rFont val="Aptos Narrow"/>
        <family val="2"/>
        <scheme val="minor"/>
      </rPr>
      <t xml:space="preserve"> estão disponíveis para download no nosso site: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</si>
</sst>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0.0"/>
  </numFmts>
  <fonts count="39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 tint="0.499984740745262"/>
      <name val="Aptos Narrow"/>
      <family val="2"/>
      <scheme val="minor"/>
    </font>
    <font>
      <b/>
      <sz val="18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i/>
      <sz val="10"/>
      <color theme="1" tint="0.499984740745262"/>
      <name val="Aptos Narrow"/>
      <family val="2"/>
      <scheme val="minor"/>
    </font>
    <font>
      <b/>
      <sz val="10"/>
      <color theme="1" tint="0.499984740745262"/>
      <name val="Aptos Narrow"/>
      <family val="2"/>
      <scheme val="minor"/>
    </font>
    <font>
      <i/>
      <sz val="18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i/>
      <sz val="14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i/>
      <sz val="16"/>
      <color theme="1"/>
      <name val="Arial"/>
      <family val="2"/>
    </font>
    <font>
      <b/>
      <sz val="12"/>
      <color indexed="12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 tint="0.499984740745262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12"/>
      <color theme="1" tint="0.49998474074526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 style="thick">
        <color theme="3" tint="0.499984740745262"/>
      </left>
      <right style="thick">
        <color theme="3" tint="0.499984740745262"/>
      </right>
      <top style="thick">
        <color theme="3" tint="0.499984740745262"/>
      </top>
      <bottom/>
      <diagonal/>
    </border>
    <border>
      <left style="thick">
        <color theme="3" tint="0.499984740745262"/>
      </left>
      <right/>
      <top style="thick">
        <color theme="3" tint="0.499984740745262"/>
      </top>
      <bottom/>
      <diagonal/>
    </border>
    <border>
      <left/>
      <right/>
      <top style="thick">
        <color theme="3" tint="0.499984740745262"/>
      </top>
      <bottom/>
      <diagonal/>
    </border>
    <border>
      <left/>
      <right style="thick">
        <color theme="3" tint="0.499984740745262"/>
      </right>
      <top style="thick">
        <color theme="3" tint="0.499984740745262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2" fillId="0" borderId="3" xfId="0" applyFont="1" applyBorder="1" applyAlignment="1">
      <alignment horizontal="center"/>
    </xf>
    <xf numFmtId="0" fontId="0" fillId="0" borderId="0" xfId="0" quotePrefix="1"/>
    <xf numFmtId="0" fontId="9" fillId="4" borderId="4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6" fillId="6" borderId="0" xfId="0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2" fontId="16" fillId="6" borderId="0" xfId="0" applyNumberFormat="1" applyFont="1" applyFill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2" fillId="8" borderId="3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left"/>
    </xf>
    <xf numFmtId="0" fontId="16" fillId="6" borderId="10" xfId="0" applyFont="1" applyFill="1" applyBorder="1" applyAlignment="1">
      <alignment horizontal="centerContinuous"/>
    </xf>
    <xf numFmtId="0" fontId="16" fillId="6" borderId="12" xfId="0" applyFont="1" applyFill="1" applyBorder="1" applyAlignment="1">
      <alignment horizontal="centerContinuous"/>
    </xf>
    <xf numFmtId="0" fontId="16" fillId="6" borderId="11" xfId="0" applyFont="1" applyFill="1" applyBorder="1" applyAlignment="1">
      <alignment horizontal="centerContinuous"/>
    </xf>
    <xf numFmtId="2" fontId="2" fillId="2" borderId="3" xfId="0" applyNumberFormat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22" fillId="0" borderId="0" xfId="0" applyFont="1" applyProtection="1">
      <protection hidden="1"/>
    </xf>
    <xf numFmtId="0" fontId="23" fillId="0" borderId="0" xfId="0" applyFont="1" applyAlignment="1">
      <alignment textRotation="90" wrapText="1"/>
    </xf>
    <xf numFmtId="0" fontId="26" fillId="0" borderId="0" xfId="0" applyFon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2" fontId="21" fillId="0" borderId="0" xfId="0" applyNumberFormat="1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 hidden="1"/>
    </xf>
    <xf numFmtId="164" fontId="27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hidden="1"/>
    </xf>
    <xf numFmtId="2" fontId="28" fillId="0" borderId="0" xfId="0" applyNumberFormat="1" applyFont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2" fontId="31" fillId="0" borderId="0" xfId="0" applyNumberFormat="1" applyFont="1" applyProtection="1">
      <protection hidden="1"/>
    </xf>
    <xf numFmtId="0" fontId="31" fillId="0" borderId="0" xfId="0" applyFont="1" applyProtection="1"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165" fontId="30" fillId="0" borderId="0" xfId="0" applyNumberFormat="1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3" fillId="0" borderId="0" xfId="0" applyFont="1" applyAlignment="1" applyProtection="1">
      <alignment vertical="center"/>
      <protection hidden="1"/>
    </xf>
    <xf numFmtId="0" fontId="24" fillId="0" borderId="0" xfId="0" applyFont="1"/>
    <xf numFmtId="0" fontId="28" fillId="0" borderId="0" xfId="0" applyFont="1"/>
    <xf numFmtId="2" fontId="16" fillId="0" borderId="3" xfId="0" applyNumberFormat="1" applyFont="1" applyBorder="1" applyAlignment="1" applyProtection="1">
      <alignment horizontal="center"/>
      <protection hidden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Continuous" vertical="center"/>
    </xf>
    <xf numFmtId="0" fontId="15" fillId="9" borderId="0" xfId="0" applyFont="1" applyFill="1" applyAlignment="1">
      <alignment horizontal="centerContinuous" vertical="center"/>
    </xf>
    <xf numFmtId="0" fontId="16" fillId="6" borderId="14" xfId="0" applyFont="1" applyFill="1" applyBorder="1" applyAlignment="1">
      <alignment horizontal="centerContinuous"/>
    </xf>
    <xf numFmtId="0" fontId="16" fillId="6" borderId="15" xfId="0" applyFont="1" applyFill="1" applyBorder="1" applyAlignment="1">
      <alignment horizontal="centerContinuous"/>
    </xf>
    <xf numFmtId="0" fontId="16" fillId="6" borderId="16" xfId="0" applyFont="1" applyFill="1" applyBorder="1" applyAlignment="1">
      <alignment horizontal="left"/>
    </xf>
    <xf numFmtId="0" fontId="16" fillId="6" borderId="16" xfId="0" applyFont="1" applyFill="1" applyBorder="1" applyAlignment="1">
      <alignment horizontal="centerContinuous"/>
    </xf>
    <xf numFmtId="0" fontId="0" fillId="0" borderId="13" xfId="0" applyBorder="1"/>
    <xf numFmtId="0" fontId="11" fillId="2" borderId="18" xfId="0" applyFont="1" applyFill="1" applyBorder="1" applyAlignment="1">
      <alignment vertical="center"/>
    </xf>
    <xf numFmtId="0" fontId="11" fillId="9" borderId="0" xfId="0" applyFont="1" applyFill="1" applyAlignment="1">
      <alignment vertical="center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37" fillId="0" borderId="0" xfId="0" applyFont="1" applyAlignment="1">
      <alignment vertical="top"/>
    </xf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0" fontId="37" fillId="0" borderId="0" xfId="0" applyFont="1" applyAlignment="1">
      <alignment horizontal="centerContinuous"/>
    </xf>
    <xf numFmtId="0" fontId="37" fillId="0" borderId="0" xfId="0" applyFont="1" applyAlignment="1">
      <alignment horizontal="left"/>
    </xf>
    <xf numFmtId="0" fontId="16" fillId="0" borderId="0" xfId="0" applyFont="1" applyAlignment="1">
      <alignment horizontal="centerContinuous"/>
    </xf>
    <xf numFmtId="0" fontId="37" fillId="0" borderId="0" xfId="0" applyFont="1" applyAlignment="1">
      <alignment horizontal="left" vertical="top"/>
    </xf>
    <xf numFmtId="0" fontId="16" fillId="0" borderId="0" xfId="0" quotePrefix="1" applyFont="1" applyAlignment="1">
      <alignment horizontal="centerContinuous"/>
    </xf>
    <xf numFmtId="0" fontId="3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3" borderId="0" xfId="1" applyFont="1" applyFill="1" applyAlignment="1" applyProtection="1">
      <alignment horizontal="center" vertical="center"/>
      <protection locked="0"/>
    </xf>
    <xf numFmtId="0" fontId="5" fillId="3" borderId="0" xfId="1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9" borderId="0" xfId="0" applyFont="1" applyFill="1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36" fillId="3" borderId="1" xfId="1" applyFont="1" applyFill="1" applyBorder="1" applyAlignment="1" applyProtection="1">
      <alignment horizontal="center" vertical="center"/>
      <protection locked="0"/>
    </xf>
    <xf numFmtId="0" fontId="36" fillId="3" borderId="2" xfId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center" vertical="top" wrapText="1"/>
    </xf>
    <xf numFmtId="0" fontId="37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6" fillId="8" borderId="0" xfId="0" applyFont="1" applyFill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Alignment="1" applyProtection="1">
      <alignment horizontal="center"/>
      <protection locked="0"/>
    </xf>
    <xf numFmtId="2" fontId="2" fillId="0" borderId="3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9" fillId="5" borderId="3" xfId="0" applyNumberFormat="1" applyFont="1" applyFill="1" applyBorder="1" applyAlignment="1" applyProtection="1">
      <alignment horizontal="center"/>
      <protection locked="0"/>
    </xf>
    <xf numFmtId="0" fontId="36" fillId="3" borderId="19" xfId="0" applyFont="1" applyFill="1" applyBorder="1" applyAlignment="1" applyProtection="1">
      <alignment horizontal="center" vertical="center"/>
      <protection locked="0"/>
    </xf>
    <xf numFmtId="0" fontId="16" fillId="8" borderId="10" xfId="0" applyFont="1" applyFill="1" applyBorder="1" applyAlignment="1" applyProtection="1">
      <alignment horizontal="right"/>
      <protection locked="0"/>
    </xf>
    <xf numFmtId="0" fontId="16" fillId="8" borderId="14" xfId="0" applyFont="1" applyFill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8" fillId="3" borderId="0" xfId="0" applyFont="1" applyFill="1" applyAlignment="1" applyProtection="1">
      <alignment horizontal="center" vertical="center"/>
      <protection locked="0"/>
    </xf>
  </cellXfs>
  <cellStyles count="2">
    <cellStyle name="Hiperlink" xfId="1" builtinId="8"/>
    <cellStyle name="Normal" xfId="0" builtinId="0"/>
  </cellStyles>
  <dxfs count="8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s://www.emmeti.com.br/catalogos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pn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18" Type="http://schemas.openxmlformats.org/officeDocument/2006/relationships/image" Target="../media/image26.png"/><Relationship Id="rId3" Type="http://schemas.openxmlformats.org/officeDocument/2006/relationships/image" Target="../media/image2.png"/><Relationship Id="rId21" Type="http://schemas.openxmlformats.org/officeDocument/2006/relationships/image" Target="../media/image29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" Type="http://schemas.openxmlformats.org/officeDocument/2006/relationships/image" Target="../media/image1.png"/><Relationship Id="rId16" Type="http://schemas.openxmlformats.org/officeDocument/2006/relationships/image" Target="../media/image24.png"/><Relationship Id="rId20" Type="http://schemas.openxmlformats.org/officeDocument/2006/relationships/image" Target="../media/image28.png"/><Relationship Id="rId1" Type="http://schemas.openxmlformats.org/officeDocument/2006/relationships/image" Target="../media/image12.png"/><Relationship Id="rId6" Type="http://schemas.openxmlformats.org/officeDocument/2006/relationships/image" Target="../media/image14.tmp"/><Relationship Id="rId11" Type="http://schemas.openxmlformats.org/officeDocument/2006/relationships/image" Target="../media/image19.png"/><Relationship Id="rId5" Type="http://schemas.openxmlformats.org/officeDocument/2006/relationships/image" Target="../media/image13.tmp"/><Relationship Id="rId15" Type="http://schemas.openxmlformats.org/officeDocument/2006/relationships/image" Target="../media/image23.png"/><Relationship Id="rId23" Type="http://schemas.openxmlformats.org/officeDocument/2006/relationships/image" Target="../media/image31.png"/><Relationship Id="rId10" Type="http://schemas.openxmlformats.org/officeDocument/2006/relationships/image" Target="../media/image18.png"/><Relationship Id="rId19" Type="http://schemas.openxmlformats.org/officeDocument/2006/relationships/image" Target="../media/image27.tmp"/><Relationship Id="rId4" Type="http://schemas.openxmlformats.org/officeDocument/2006/relationships/image" Target="../media/image3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</xdr:colOff>
      <xdr:row>2</xdr:row>
      <xdr:rowOff>118109</xdr:rowOff>
    </xdr:from>
    <xdr:to>
      <xdr:col>12</xdr:col>
      <xdr:colOff>510540</xdr:colOff>
      <xdr:row>14</xdr:row>
      <xdr:rowOff>91440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9034FF-AB70-49FA-EEFB-D728D100CC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388" b="18789"/>
        <a:stretch>
          <a:fillRect/>
        </a:stretch>
      </xdr:blipFill>
      <xdr:spPr>
        <a:xfrm>
          <a:off x="636270" y="480059"/>
          <a:ext cx="6088380" cy="2145031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16</xdr:row>
      <xdr:rowOff>173355</xdr:rowOff>
    </xdr:from>
    <xdr:to>
      <xdr:col>2</xdr:col>
      <xdr:colOff>401595</xdr:colOff>
      <xdr:row>19</xdr:row>
      <xdr:rowOff>15375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EFE91FC-4048-EA69-8164-AA50F0C442D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 flipH="1">
          <a:off x="1590675" y="3973830"/>
          <a:ext cx="22500" cy="38494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15</xdr:col>
      <xdr:colOff>255269</xdr:colOff>
      <xdr:row>17</xdr:row>
      <xdr:rowOff>17145</xdr:rowOff>
    </xdr:from>
    <xdr:to>
      <xdr:col>22</xdr:col>
      <xdr:colOff>468629</xdr:colOff>
      <xdr:row>19</xdr:row>
      <xdr:rowOff>19274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4B17EB5C-9B75-4918-B4BF-D8728BF561B8}"/>
            </a:ext>
          </a:extLst>
        </xdr:cNvPr>
        <xdr:cNvSpPr/>
      </xdr:nvSpPr>
      <xdr:spPr>
        <a:xfrm>
          <a:off x="9399269" y="4360545"/>
          <a:ext cx="4480560" cy="364079"/>
        </a:xfrm>
        <a:prstGeom prst="rect">
          <a:avLst/>
        </a:prstGeom>
        <a:solidFill>
          <a:schemeClr val="bg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>
                  <a:lumMod val="50000"/>
                  <a:lumOff val="50000"/>
                </a:schemeClr>
              </a:solidFill>
            </a:rPr>
            <a:t>TUBOS MULTICAMADAS </a:t>
          </a:r>
          <a:r>
            <a:rPr lang="pt-BR" sz="1200" b="1" baseline="0">
              <a:solidFill>
                <a:schemeClr val="tx1">
                  <a:lumMod val="50000"/>
                  <a:lumOff val="50000"/>
                </a:schemeClr>
              </a:solidFill>
            </a:rPr>
            <a:t>PARA GÁS - EMMETI</a:t>
          </a:r>
          <a:endParaRPr lang="pt-BR" sz="1200" b="1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oneCellAnchor>
    <xdr:from>
      <xdr:col>25</xdr:col>
      <xdr:colOff>374491</xdr:colOff>
      <xdr:row>0</xdr:row>
      <xdr:rowOff>1</xdr:rowOff>
    </xdr:from>
    <xdr:ext cx="233205" cy="3514724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B0928036-E445-8218-5303-8C749CADCF42}"/>
            </a:ext>
          </a:extLst>
        </xdr:cNvPr>
        <xdr:cNvSpPr txBox="1"/>
      </xdr:nvSpPr>
      <xdr:spPr>
        <a:xfrm rot="16200000">
          <a:off x="13973732" y="1640760"/>
          <a:ext cx="3514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solidFill>
                <a:schemeClr val="tx1">
                  <a:lumMod val="50000"/>
                  <a:lumOff val="50000"/>
                </a:schemeClr>
              </a:solidFill>
            </a:rPr>
            <a:t>Desenvolvido pelo Departamento de</a:t>
          </a:r>
          <a:r>
            <a:rPr lang="pt-BR" sz="900" baseline="0">
              <a:solidFill>
                <a:schemeClr val="tx1">
                  <a:lumMod val="50000"/>
                  <a:lumOff val="50000"/>
                </a:schemeClr>
              </a:solidFill>
            </a:rPr>
            <a:t> Engenharia - EMMETI BRASIL - 2025</a:t>
          </a:r>
          <a:endParaRPr lang="pt-BR" sz="9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 editAs="oneCell">
    <xdr:from>
      <xdr:col>15</xdr:col>
      <xdr:colOff>247650</xdr:colOff>
      <xdr:row>2</xdr:row>
      <xdr:rowOff>133350</xdr:rowOff>
    </xdr:from>
    <xdr:to>
      <xdr:col>22</xdr:col>
      <xdr:colOff>440420</xdr:colOff>
      <xdr:row>16</xdr:row>
      <xdr:rowOff>92545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CA906B5-B665-98EC-767A-C99840851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91650" y="495300"/>
          <a:ext cx="4463780" cy="2489035"/>
        </a:xfrm>
        <a:prstGeom prst="rect">
          <a:avLst/>
        </a:prstGeom>
      </xdr:spPr>
    </xdr:pic>
    <xdr:clientData/>
  </xdr:twoCellAnchor>
  <xdr:twoCellAnchor>
    <xdr:from>
      <xdr:col>13</xdr:col>
      <xdr:colOff>505427</xdr:colOff>
      <xdr:row>36</xdr:row>
      <xdr:rowOff>56749</xdr:rowOff>
    </xdr:from>
    <xdr:to>
      <xdr:col>17</xdr:col>
      <xdr:colOff>565083</xdr:colOff>
      <xdr:row>37</xdr:row>
      <xdr:rowOff>131246</xdr:rowOff>
    </xdr:to>
    <xdr:sp macro="" textlink="">
      <xdr:nvSpPr>
        <xdr:cNvPr id="4" name="CaixaDe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FE102B-AF06-34AB-449B-1C06EE973112}"/>
            </a:ext>
          </a:extLst>
        </xdr:cNvPr>
        <xdr:cNvSpPr txBox="1"/>
      </xdr:nvSpPr>
      <xdr:spPr>
        <a:xfrm>
          <a:off x="7325327" y="6571849"/>
          <a:ext cx="2498056" cy="255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>
              <a:solidFill>
                <a:schemeClr val="accent1"/>
              </a:solidFill>
            </a:rPr>
            <a:t>https://www.emmeti.com.br/catalogos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9521</xdr:colOff>
      <xdr:row>0</xdr:row>
      <xdr:rowOff>1</xdr:rowOff>
    </xdr:from>
    <xdr:to>
      <xdr:col>1</xdr:col>
      <xdr:colOff>1218244</xdr:colOff>
      <xdr:row>3</xdr:row>
      <xdr:rowOff>135942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DC76B871-51AF-43D2-81F6-2C1D01D59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09" y="1"/>
          <a:ext cx="1208723" cy="7669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1203008</xdr:colOff>
      <xdr:row>3</xdr:row>
      <xdr:rowOff>135941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4A09499F-B0C9-49E0-B224-47949611E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8" y="0"/>
          <a:ext cx="1206818" cy="7631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210025</xdr:colOff>
      <xdr:row>4</xdr:row>
      <xdr:rowOff>16689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0E356F-3484-49FE-891D-E47B06C59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4930" cy="83583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</xdr:row>
      <xdr:rowOff>0</xdr:rowOff>
    </xdr:from>
    <xdr:to>
      <xdr:col>18</xdr:col>
      <xdr:colOff>304800</xdr:colOff>
      <xdr:row>5</xdr:row>
      <xdr:rowOff>133350</xdr:rowOff>
    </xdr:to>
    <xdr:sp macro="" textlink="">
      <xdr:nvSpPr>
        <xdr:cNvPr id="3" name="AutoShape 3" descr="Imagem de ">
          <a:extLst>
            <a:ext uri="{FF2B5EF4-FFF2-40B4-BE49-F238E27FC236}">
              <a16:creationId xmlns:a16="http://schemas.microsoft.com/office/drawing/2014/main" id="{27FE7DAD-E55A-4D4F-88FE-BB5E325CFCE1}"/>
            </a:ext>
          </a:extLst>
        </xdr:cNvPr>
        <xdr:cNvSpPr>
          <a:spLocks noChangeAspect="1" noChangeArrowheads="1"/>
        </xdr:cNvSpPr>
      </xdr:nvSpPr>
      <xdr:spPr bwMode="auto">
        <a:xfrm>
          <a:off x="20193000" y="29908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72949</xdr:colOff>
      <xdr:row>28</xdr:row>
      <xdr:rowOff>131099</xdr:rowOff>
    </xdr:from>
    <xdr:to>
      <xdr:col>1</xdr:col>
      <xdr:colOff>783807</xdr:colOff>
      <xdr:row>38</xdr:row>
      <xdr:rowOff>131830</xdr:rowOff>
    </xdr:to>
    <xdr:pic>
      <xdr:nvPicPr>
        <xdr:cNvPr id="15" name="Imagem 14" descr="Junção em T intermediária Gaspex">
          <a:extLst>
            <a:ext uri="{FF2B5EF4-FFF2-40B4-BE49-F238E27FC236}">
              <a16:creationId xmlns:a16="http://schemas.microsoft.com/office/drawing/2014/main" id="{6F4D516E-607C-C76F-58CA-9AECCC518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49" y="5240981"/>
          <a:ext cx="1857444" cy="1793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272632</xdr:colOff>
      <xdr:row>16</xdr:row>
      <xdr:rowOff>21822</xdr:rowOff>
    </xdr:from>
    <xdr:to>
      <xdr:col>7</xdr:col>
      <xdr:colOff>973317</xdr:colOff>
      <xdr:row>26</xdr:row>
      <xdr:rowOff>131957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5A36C1D8-0091-B95D-A3A1-55DE2FD3F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68632" y="3012672"/>
          <a:ext cx="1839875" cy="1923695"/>
        </a:xfrm>
        <a:prstGeom prst="rect">
          <a:avLst/>
        </a:prstGeom>
      </xdr:spPr>
    </xdr:pic>
    <xdr:clientData/>
  </xdr:twoCellAnchor>
  <xdr:twoCellAnchor editAs="oneCell">
    <xdr:from>
      <xdr:col>3</xdr:col>
      <xdr:colOff>292819</xdr:colOff>
      <xdr:row>16</xdr:row>
      <xdr:rowOff>49938</xdr:rowOff>
    </xdr:from>
    <xdr:to>
      <xdr:col>4</xdr:col>
      <xdr:colOff>931488</xdr:colOff>
      <xdr:row>26</xdr:row>
      <xdr:rowOff>60050</xdr:rowOff>
    </xdr:to>
    <xdr:pic>
      <xdr:nvPicPr>
        <xdr:cNvPr id="17" name="Imagem 16" descr="Cotovelo masculino Gaspex">
          <a:extLst>
            <a:ext uri="{FF2B5EF4-FFF2-40B4-BE49-F238E27FC236}">
              <a16:creationId xmlns:a16="http://schemas.microsoft.com/office/drawing/2014/main" id="{67087B2F-1527-3151-62FE-B7E8E00F3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643" y="3008291"/>
          <a:ext cx="1800494" cy="1803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128084</xdr:colOff>
      <xdr:row>16</xdr:row>
      <xdr:rowOff>54380</xdr:rowOff>
    </xdr:from>
    <xdr:to>
      <xdr:col>1</xdr:col>
      <xdr:colOff>800461</xdr:colOff>
      <xdr:row>26</xdr:row>
      <xdr:rowOff>131719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7C7DAE3F-FBD4-4382-448F-8CEA069C8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084" y="3012733"/>
          <a:ext cx="1826583" cy="1870280"/>
        </a:xfrm>
        <a:prstGeom prst="rect">
          <a:avLst/>
        </a:prstGeom>
      </xdr:spPr>
    </xdr:pic>
    <xdr:clientData/>
  </xdr:twoCellAnchor>
  <xdr:twoCellAnchor editAs="oneCell">
    <xdr:from>
      <xdr:col>6</xdr:col>
      <xdr:colOff>245521</xdr:colOff>
      <xdr:row>4</xdr:row>
      <xdr:rowOff>46485</xdr:rowOff>
    </xdr:from>
    <xdr:to>
      <xdr:col>7</xdr:col>
      <xdr:colOff>892866</xdr:colOff>
      <xdr:row>14</xdr:row>
      <xdr:rowOff>155916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33CBEA0E-3A6A-3285-035C-43EF7D312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69168" y="853309"/>
          <a:ext cx="1797741" cy="1902372"/>
        </a:xfrm>
        <a:prstGeom prst="rect">
          <a:avLst/>
        </a:prstGeom>
      </xdr:spPr>
    </xdr:pic>
    <xdr:clientData/>
  </xdr:twoCellAnchor>
  <xdr:twoCellAnchor editAs="oneCell">
    <xdr:from>
      <xdr:col>3</xdr:col>
      <xdr:colOff>295722</xdr:colOff>
      <xdr:row>4</xdr:row>
      <xdr:rowOff>96909</xdr:rowOff>
    </xdr:from>
    <xdr:to>
      <xdr:col>4</xdr:col>
      <xdr:colOff>897753</xdr:colOff>
      <xdr:row>14</xdr:row>
      <xdr:rowOff>95003</xdr:rowOff>
    </xdr:to>
    <xdr:pic>
      <xdr:nvPicPr>
        <xdr:cNvPr id="20" name="Imagem 19" descr="União masculina heterossexual Gaspex">
          <a:extLst>
            <a:ext uri="{FF2B5EF4-FFF2-40B4-BE49-F238E27FC236}">
              <a16:creationId xmlns:a16="http://schemas.microsoft.com/office/drawing/2014/main" id="{6BA5E4E1-70FD-0B83-4E54-9B7B5121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546" y="903733"/>
          <a:ext cx="1767666" cy="179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216355</xdr:colOff>
      <xdr:row>4</xdr:row>
      <xdr:rowOff>116102</xdr:rowOff>
    </xdr:from>
    <xdr:to>
      <xdr:col>1</xdr:col>
      <xdr:colOff>856875</xdr:colOff>
      <xdr:row>14</xdr:row>
      <xdr:rowOff>115221</xdr:rowOff>
    </xdr:to>
    <xdr:pic>
      <xdr:nvPicPr>
        <xdr:cNvPr id="21" name="Imagem 20" descr="Junta reta intermediária Gaspex">
          <a:extLst>
            <a:ext uri="{FF2B5EF4-FFF2-40B4-BE49-F238E27FC236}">
              <a16:creationId xmlns:a16="http://schemas.microsoft.com/office/drawing/2014/main" id="{FFB13B99-04D8-3521-3F0B-0FC32957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355" y="922926"/>
          <a:ext cx="1804251" cy="179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283033</xdr:colOff>
      <xdr:row>4</xdr:row>
      <xdr:rowOff>141573</xdr:rowOff>
    </xdr:from>
    <xdr:to>
      <xdr:col>10</xdr:col>
      <xdr:colOff>934892</xdr:colOff>
      <xdr:row>14</xdr:row>
      <xdr:rowOff>116583</xdr:rowOff>
    </xdr:to>
    <xdr:pic>
      <xdr:nvPicPr>
        <xdr:cNvPr id="22" name="Imagem 21" descr="Reto com porca giratória fêmea, encaixe com anel de vedação Gaspex">
          <a:extLst>
            <a:ext uri="{FF2B5EF4-FFF2-40B4-BE49-F238E27FC236}">
              <a16:creationId xmlns:a16="http://schemas.microsoft.com/office/drawing/2014/main" id="{66D10E27-FC8E-DDFC-CF58-57924549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8504" y="948397"/>
          <a:ext cx="1802254" cy="1767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305359</xdr:colOff>
      <xdr:row>32</xdr:row>
      <xdr:rowOff>91440</xdr:rowOff>
    </xdr:from>
    <xdr:to>
      <xdr:col>1</xdr:col>
      <xdr:colOff>330124</xdr:colOff>
      <xdr:row>36</xdr:row>
      <xdr:rowOff>38100</xdr:rowOff>
    </xdr:to>
    <xdr:cxnSp macro="">
      <xdr:nvCxnSpPr>
        <xdr:cNvPr id="24" name="Conector de Seta Reta 23">
          <a:extLst>
            <a:ext uri="{FF2B5EF4-FFF2-40B4-BE49-F238E27FC236}">
              <a16:creationId xmlns:a16="http://schemas.microsoft.com/office/drawing/2014/main" id="{AF7B5CB1-D624-51C4-E8DF-BAC5A430909C}"/>
            </a:ext>
          </a:extLst>
        </xdr:cNvPr>
        <xdr:cNvCxnSpPr/>
      </xdr:nvCxnSpPr>
      <xdr:spPr>
        <a:xfrm>
          <a:off x="305359" y="5918499"/>
          <a:ext cx="1178971" cy="66383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170104</xdr:colOff>
      <xdr:row>28</xdr:row>
      <xdr:rowOff>69252</xdr:rowOff>
    </xdr:from>
    <xdr:to>
      <xdr:col>4</xdr:col>
      <xdr:colOff>894297</xdr:colOff>
      <xdr:row>38</xdr:row>
      <xdr:rowOff>60458</xdr:rowOff>
    </xdr:to>
    <xdr:pic>
      <xdr:nvPicPr>
        <xdr:cNvPr id="25" name="Imagem 24" descr="Junção em T intermediária Gaspex">
          <a:extLst>
            <a:ext uri="{FF2B5EF4-FFF2-40B4-BE49-F238E27FC236}">
              <a16:creationId xmlns:a16="http://schemas.microsoft.com/office/drawing/2014/main" id="{F6043CB7-8BF6-4691-8857-2D0675BD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928" y="5179134"/>
          <a:ext cx="1878398" cy="1793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1048084</xdr:colOff>
      <xdr:row>30</xdr:row>
      <xdr:rowOff>105447</xdr:rowOff>
    </xdr:from>
    <xdr:to>
      <xdr:col>3</xdr:col>
      <xdr:colOff>1048084</xdr:colOff>
      <xdr:row>34</xdr:row>
      <xdr:rowOff>29519</xdr:rowOff>
    </xdr:to>
    <xdr:cxnSp macro="">
      <xdr:nvCxnSpPr>
        <xdr:cNvPr id="27" name="Conector de Seta Reta 26">
          <a:extLst>
            <a:ext uri="{FF2B5EF4-FFF2-40B4-BE49-F238E27FC236}">
              <a16:creationId xmlns:a16="http://schemas.microsoft.com/office/drawing/2014/main" id="{453FBADA-FB17-4CD9-5341-982F035CB8E8}"/>
            </a:ext>
          </a:extLst>
        </xdr:cNvPr>
        <xdr:cNvCxnSpPr/>
      </xdr:nvCxnSpPr>
      <xdr:spPr>
        <a:xfrm flipV="1">
          <a:off x="3759908" y="5573918"/>
          <a:ext cx="0" cy="6412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282499</xdr:colOff>
      <xdr:row>32</xdr:row>
      <xdr:rowOff>6387</xdr:rowOff>
    </xdr:from>
    <xdr:to>
      <xdr:col>3</xdr:col>
      <xdr:colOff>1046995</xdr:colOff>
      <xdr:row>34</xdr:row>
      <xdr:rowOff>33874</xdr:rowOff>
    </xdr:to>
    <xdr:cxnSp macro="">
      <xdr:nvCxnSpPr>
        <xdr:cNvPr id="32" name="Conector reto 31">
          <a:extLst>
            <a:ext uri="{FF2B5EF4-FFF2-40B4-BE49-F238E27FC236}">
              <a16:creationId xmlns:a16="http://schemas.microsoft.com/office/drawing/2014/main" id="{20B74E66-A0E3-F16A-65A9-4262A058000D}"/>
            </a:ext>
          </a:extLst>
        </xdr:cNvPr>
        <xdr:cNvCxnSpPr/>
      </xdr:nvCxnSpPr>
      <xdr:spPr>
        <a:xfrm flipH="1" flipV="1">
          <a:off x="2994323" y="5833446"/>
          <a:ext cx="764496" cy="386075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140486</xdr:colOff>
      <xdr:row>28</xdr:row>
      <xdr:rowOff>93472</xdr:rowOff>
    </xdr:from>
    <xdr:to>
      <xdr:col>7</xdr:col>
      <xdr:colOff>858965</xdr:colOff>
      <xdr:row>38</xdr:row>
      <xdr:rowOff>92298</xdr:rowOff>
    </xdr:to>
    <xdr:pic>
      <xdr:nvPicPr>
        <xdr:cNvPr id="39" name="Imagem 38" descr="Junção em T intermediária Gaspex">
          <a:extLst>
            <a:ext uri="{FF2B5EF4-FFF2-40B4-BE49-F238E27FC236}">
              <a16:creationId xmlns:a16="http://schemas.microsoft.com/office/drawing/2014/main" id="{6D243011-F1BA-4BCE-B7AE-F7A352E61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4133" y="5203354"/>
          <a:ext cx="1872685" cy="1791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997193</xdr:colOff>
      <xdr:row>29</xdr:row>
      <xdr:rowOff>169353</xdr:rowOff>
    </xdr:from>
    <xdr:to>
      <xdr:col>6</xdr:col>
      <xdr:colOff>997193</xdr:colOff>
      <xdr:row>34</xdr:row>
      <xdr:rowOff>57550</xdr:rowOff>
    </xdr:to>
    <xdr:cxnSp macro="">
      <xdr:nvCxnSpPr>
        <xdr:cNvPr id="41" name="Conector de Seta Reta 40">
          <a:extLst>
            <a:ext uri="{FF2B5EF4-FFF2-40B4-BE49-F238E27FC236}">
              <a16:creationId xmlns:a16="http://schemas.microsoft.com/office/drawing/2014/main" id="{ACC4D387-D53B-A78F-D198-9B59EA335706}"/>
            </a:ext>
          </a:extLst>
        </xdr:cNvPr>
        <xdr:cNvCxnSpPr/>
      </xdr:nvCxnSpPr>
      <xdr:spPr>
        <a:xfrm>
          <a:off x="6420840" y="5458529"/>
          <a:ext cx="0" cy="78466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534295</xdr:colOff>
      <xdr:row>13</xdr:row>
      <xdr:rowOff>16472</xdr:rowOff>
    </xdr:from>
    <xdr:to>
      <xdr:col>4</xdr:col>
      <xdr:colOff>1150620</xdr:colOff>
      <xdr:row>14</xdr:row>
      <xdr:rowOff>127074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6B602404-E059-C074-8B7D-12431786841F}"/>
            </a:ext>
          </a:extLst>
        </xdr:cNvPr>
        <xdr:cNvSpPr/>
      </xdr:nvSpPr>
      <xdr:spPr>
        <a:xfrm>
          <a:off x="4400324" y="2436943"/>
          <a:ext cx="616325" cy="289896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1,6</a:t>
          </a:r>
          <a:endParaRPr lang="pt-BR" sz="1100" b="1"/>
        </a:p>
      </xdr:txBody>
    </xdr:sp>
    <xdr:clientData/>
  </xdr:twoCellAnchor>
  <xdr:twoCellAnchor>
    <xdr:from>
      <xdr:col>4</xdr:col>
      <xdr:colOff>532167</xdr:colOff>
      <xdr:row>25</xdr:row>
      <xdr:rowOff>29808</xdr:rowOff>
    </xdr:from>
    <xdr:to>
      <xdr:col>4</xdr:col>
      <xdr:colOff>1150397</xdr:colOff>
      <xdr:row>26</xdr:row>
      <xdr:rowOff>134695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2CAC8B56-A81D-4E91-BCB0-AF060984C53D}"/>
            </a:ext>
          </a:extLst>
        </xdr:cNvPr>
        <xdr:cNvSpPr/>
      </xdr:nvSpPr>
      <xdr:spPr>
        <a:xfrm>
          <a:off x="4398196" y="4601808"/>
          <a:ext cx="618230" cy="28418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2,2</a:t>
          </a:r>
          <a:endParaRPr lang="pt-BR" sz="1100" b="1"/>
        </a:p>
      </xdr:txBody>
    </xdr:sp>
    <xdr:clientData/>
  </xdr:twoCellAnchor>
  <xdr:twoCellAnchor>
    <xdr:from>
      <xdr:col>4</xdr:col>
      <xdr:colOff>524771</xdr:colOff>
      <xdr:row>37</xdr:row>
      <xdr:rowOff>35523</xdr:rowOff>
    </xdr:from>
    <xdr:to>
      <xdr:col>4</xdr:col>
      <xdr:colOff>1139191</xdr:colOff>
      <xdr:row>38</xdr:row>
      <xdr:rowOff>136599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EA0DEBCC-A75B-94C3-3285-0FD9648B5AD0}"/>
            </a:ext>
          </a:extLst>
        </xdr:cNvPr>
        <xdr:cNvSpPr/>
      </xdr:nvSpPr>
      <xdr:spPr>
        <a:xfrm>
          <a:off x="4390800" y="6759052"/>
          <a:ext cx="614420" cy="28037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2,4</a:t>
          </a:r>
          <a:endParaRPr lang="pt-BR" sz="1100" b="1"/>
        </a:p>
      </xdr:txBody>
    </xdr:sp>
    <xdr:clientData/>
  </xdr:twoCellAnchor>
  <xdr:twoCellAnchor>
    <xdr:from>
      <xdr:col>7</xdr:col>
      <xdr:colOff>540010</xdr:colOff>
      <xdr:row>13</xdr:row>
      <xdr:rowOff>16472</xdr:rowOff>
    </xdr:from>
    <xdr:to>
      <xdr:col>7</xdr:col>
      <xdr:colOff>1150620</xdr:colOff>
      <xdr:row>14</xdr:row>
      <xdr:rowOff>134694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513D6E8-E1EE-B026-0B26-4C8DA049DE52}"/>
            </a:ext>
          </a:extLst>
        </xdr:cNvPr>
        <xdr:cNvSpPr/>
      </xdr:nvSpPr>
      <xdr:spPr>
        <a:xfrm>
          <a:off x="7117863" y="2436943"/>
          <a:ext cx="610610" cy="297516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1,6</a:t>
          </a:r>
          <a:endParaRPr lang="pt-BR" sz="1100" b="1"/>
        </a:p>
      </xdr:txBody>
    </xdr:sp>
    <xdr:clientData/>
  </xdr:twoCellAnchor>
  <xdr:twoCellAnchor>
    <xdr:from>
      <xdr:col>7</xdr:col>
      <xdr:colOff>543373</xdr:colOff>
      <xdr:row>25</xdr:row>
      <xdr:rowOff>37428</xdr:rowOff>
    </xdr:from>
    <xdr:to>
      <xdr:col>8</xdr:col>
      <xdr:colOff>11207</xdr:colOff>
      <xdr:row>26</xdr:row>
      <xdr:rowOff>134695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A5DBE047-CDD0-FC18-4F43-1A6BEC9C3318}"/>
            </a:ext>
          </a:extLst>
        </xdr:cNvPr>
        <xdr:cNvSpPr/>
      </xdr:nvSpPr>
      <xdr:spPr>
        <a:xfrm>
          <a:off x="7121226" y="4609428"/>
          <a:ext cx="622040" cy="27656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2,2</a:t>
          </a:r>
          <a:endParaRPr lang="pt-BR" sz="1100" b="1"/>
        </a:p>
      </xdr:txBody>
    </xdr:sp>
    <xdr:clientData/>
  </xdr:twoCellAnchor>
  <xdr:twoCellAnchor>
    <xdr:from>
      <xdr:col>7</xdr:col>
      <xdr:colOff>541468</xdr:colOff>
      <xdr:row>37</xdr:row>
      <xdr:rowOff>35523</xdr:rowOff>
    </xdr:from>
    <xdr:to>
      <xdr:col>8</xdr:col>
      <xdr:colOff>11207</xdr:colOff>
      <xdr:row>38</xdr:row>
      <xdr:rowOff>136599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84F38512-295B-1E4E-1184-F0E85B11688F}"/>
            </a:ext>
          </a:extLst>
        </xdr:cNvPr>
        <xdr:cNvSpPr/>
      </xdr:nvSpPr>
      <xdr:spPr>
        <a:xfrm>
          <a:off x="7119321" y="6759052"/>
          <a:ext cx="623945" cy="28037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3,2</a:t>
          </a:r>
          <a:endParaRPr lang="pt-BR" sz="1100" b="1"/>
        </a:p>
      </xdr:txBody>
    </xdr:sp>
    <xdr:clientData/>
  </xdr:twoCellAnchor>
  <xdr:twoCellAnchor>
    <xdr:from>
      <xdr:col>10</xdr:col>
      <xdr:colOff>553121</xdr:colOff>
      <xdr:row>13</xdr:row>
      <xdr:rowOff>20282</xdr:rowOff>
    </xdr:from>
    <xdr:to>
      <xdr:col>11</xdr:col>
      <xdr:colOff>9525</xdr:colOff>
      <xdr:row>14</xdr:row>
      <xdr:rowOff>130884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3F6D5E3D-F56B-C171-5E08-D05263AFCC4C}"/>
            </a:ext>
          </a:extLst>
        </xdr:cNvPr>
        <xdr:cNvSpPr/>
      </xdr:nvSpPr>
      <xdr:spPr>
        <a:xfrm>
          <a:off x="9842797" y="2440753"/>
          <a:ext cx="610610" cy="289896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1,6</a:t>
          </a:r>
          <a:endParaRPr lang="pt-BR" sz="1100" b="1"/>
        </a:p>
      </xdr:txBody>
    </xdr:sp>
    <xdr:clientData/>
  </xdr:twoCellAnchor>
  <xdr:twoCellAnchor>
    <xdr:from>
      <xdr:col>1</xdr:col>
      <xdr:colOff>532390</xdr:colOff>
      <xdr:row>13</xdr:row>
      <xdr:rowOff>20282</xdr:rowOff>
    </xdr:from>
    <xdr:to>
      <xdr:col>1</xdr:col>
      <xdr:colOff>1150620</xdr:colOff>
      <xdr:row>14</xdr:row>
      <xdr:rowOff>130884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46FC92D6-E05B-5ECA-D7C4-6266E8F0C647}"/>
            </a:ext>
          </a:extLst>
        </xdr:cNvPr>
        <xdr:cNvSpPr/>
      </xdr:nvSpPr>
      <xdr:spPr>
        <a:xfrm>
          <a:off x="1686596" y="2440753"/>
          <a:ext cx="618230" cy="289896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1,8</a:t>
          </a:r>
          <a:endParaRPr lang="pt-BR" sz="1100" b="1"/>
        </a:p>
      </xdr:txBody>
    </xdr:sp>
    <xdr:clientData/>
  </xdr:twoCellAnchor>
  <xdr:twoCellAnchor>
    <xdr:from>
      <xdr:col>1</xdr:col>
      <xdr:colOff>530262</xdr:colOff>
      <xdr:row>25</xdr:row>
      <xdr:rowOff>22188</xdr:rowOff>
    </xdr:from>
    <xdr:to>
      <xdr:col>1</xdr:col>
      <xdr:colOff>1150397</xdr:colOff>
      <xdr:row>26</xdr:row>
      <xdr:rowOff>130885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FE3C0E42-0366-57BB-DFA5-AF123FD4558B}"/>
            </a:ext>
          </a:extLst>
        </xdr:cNvPr>
        <xdr:cNvSpPr/>
      </xdr:nvSpPr>
      <xdr:spPr>
        <a:xfrm>
          <a:off x="1684468" y="4594188"/>
          <a:ext cx="620135" cy="28799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2,4</a:t>
          </a:r>
          <a:endParaRPr lang="pt-BR" sz="1100" b="1"/>
        </a:p>
      </xdr:txBody>
    </xdr:sp>
    <xdr:clientData/>
  </xdr:twoCellAnchor>
  <xdr:twoCellAnchor>
    <xdr:from>
      <xdr:col>1</xdr:col>
      <xdr:colOff>528581</xdr:colOff>
      <xdr:row>37</xdr:row>
      <xdr:rowOff>35523</xdr:rowOff>
    </xdr:from>
    <xdr:to>
      <xdr:col>1</xdr:col>
      <xdr:colOff>1143001</xdr:colOff>
      <xdr:row>38</xdr:row>
      <xdr:rowOff>132789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E0982B56-4A5D-74C6-AFC2-F9F958D60FC7}"/>
            </a:ext>
          </a:extLst>
        </xdr:cNvPr>
        <xdr:cNvSpPr/>
      </xdr:nvSpPr>
      <xdr:spPr>
        <a:xfrm>
          <a:off x="1682787" y="6759052"/>
          <a:ext cx="614420" cy="27656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1,8</a:t>
          </a:r>
          <a:endParaRPr lang="pt-BR" sz="1100" b="1"/>
        </a:p>
      </xdr:txBody>
    </xdr:sp>
    <xdr:clientData/>
  </xdr:twoCellAnchor>
  <xdr:twoCellAnchor>
    <xdr:from>
      <xdr:col>2</xdr:col>
      <xdr:colOff>399786</xdr:colOff>
      <xdr:row>40</xdr:row>
      <xdr:rowOff>98947</xdr:rowOff>
    </xdr:from>
    <xdr:to>
      <xdr:col>4</xdr:col>
      <xdr:colOff>1139191</xdr:colOff>
      <xdr:row>42</xdr:row>
      <xdr:rowOff>16920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5762D48D-DB19-6127-C25A-295DDA2B5DA6}"/>
            </a:ext>
          </a:extLst>
        </xdr:cNvPr>
        <xdr:cNvSpPr/>
      </xdr:nvSpPr>
      <xdr:spPr>
        <a:xfrm>
          <a:off x="2708198" y="7360359"/>
          <a:ext cx="2297022" cy="27656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TEE MACHO - 2,2</a:t>
          </a:r>
          <a:endParaRPr lang="pt-BR" sz="1100" b="1"/>
        </a:p>
      </xdr:txBody>
    </xdr:sp>
    <xdr:clientData/>
  </xdr:twoCellAnchor>
  <xdr:twoCellAnchor>
    <xdr:from>
      <xdr:col>6</xdr:col>
      <xdr:colOff>0</xdr:colOff>
      <xdr:row>40</xdr:row>
      <xdr:rowOff>98947</xdr:rowOff>
    </xdr:from>
    <xdr:to>
      <xdr:col>8</xdr:col>
      <xdr:colOff>16922</xdr:colOff>
      <xdr:row>42</xdr:row>
      <xdr:rowOff>16920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F0A59E36-3212-B54E-4A12-4D18319BBF7D}"/>
            </a:ext>
          </a:extLst>
        </xdr:cNvPr>
        <xdr:cNvSpPr/>
      </xdr:nvSpPr>
      <xdr:spPr>
        <a:xfrm>
          <a:off x="5423647" y="7360359"/>
          <a:ext cx="2325334" cy="27656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TEE MACHO - 3,0</a:t>
          </a:r>
          <a:endParaRPr lang="pt-BR" sz="1100" b="1"/>
        </a:p>
      </xdr:txBody>
    </xdr:sp>
    <xdr:clientData/>
  </xdr:twoCellAnchor>
  <xdr:twoCellAnchor>
    <xdr:from>
      <xdr:col>0</xdr:col>
      <xdr:colOff>0</xdr:colOff>
      <xdr:row>40</xdr:row>
      <xdr:rowOff>95137</xdr:rowOff>
    </xdr:from>
    <xdr:to>
      <xdr:col>1</xdr:col>
      <xdr:colOff>1143002</xdr:colOff>
      <xdr:row>42</xdr:row>
      <xdr:rowOff>16920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id="{3EB91307-43A6-1470-DE11-5C69347B02D6}"/>
            </a:ext>
          </a:extLst>
        </xdr:cNvPr>
        <xdr:cNvSpPr/>
      </xdr:nvSpPr>
      <xdr:spPr>
        <a:xfrm>
          <a:off x="0" y="7356549"/>
          <a:ext cx="2297208" cy="28037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TEE MACHO - 1,8</a:t>
          </a:r>
          <a:endParaRPr lang="pt-BR" sz="1100" b="1"/>
        </a:p>
      </xdr:txBody>
    </xdr:sp>
    <xdr:clientData/>
  </xdr:twoCellAnchor>
  <xdr:twoCellAnchor>
    <xdr:from>
      <xdr:col>2</xdr:col>
      <xdr:colOff>385630</xdr:colOff>
      <xdr:row>42</xdr:row>
      <xdr:rowOff>76536</xdr:rowOff>
    </xdr:from>
    <xdr:to>
      <xdr:col>4</xdr:col>
      <xdr:colOff>1139191</xdr:colOff>
      <xdr:row>43</xdr:row>
      <xdr:rowOff>169993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0A38A626-FC5D-FA4A-289E-6BBC529DE874}"/>
            </a:ext>
          </a:extLst>
        </xdr:cNvPr>
        <xdr:cNvSpPr/>
      </xdr:nvSpPr>
      <xdr:spPr>
        <a:xfrm>
          <a:off x="2694042" y="7696536"/>
          <a:ext cx="2311178" cy="27275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TEE FÊMEA - 2,4</a:t>
          </a:r>
          <a:endParaRPr lang="pt-BR" sz="1100" b="1"/>
        </a:p>
      </xdr:txBody>
    </xdr:sp>
    <xdr:clientData/>
  </xdr:twoCellAnchor>
  <xdr:twoCellAnchor>
    <xdr:from>
      <xdr:col>6</xdr:col>
      <xdr:colOff>3810</xdr:colOff>
      <xdr:row>42</xdr:row>
      <xdr:rowOff>76536</xdr:rowOff>
    </xdr:from>
    <xdr:to>
      <xdr:col>8</xdr:col>
      <xdr:colOff>20732</xdr:colOff>
      <xdr:row>43</xdr:row>
      <xdr:rowOff>169993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F164D06A-32A3-D8C8-F442-2FF446454E1B}"/>
            </a:ext>
          </a:extLst>
        </xdr:cNvPr>
        <xdr:cNvSpPr/>
      </xdr:nvSpPr>
      <xdr:spPr>
        <a:xfrm>
          <a:off x="5427457" y="7696536"/>
          <a:ext cx="2325334" cy="27275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TEE FÊMEA - 3,0</a:t>
          </a:r>
          <a:endParaRPr lang="pt-BR" sz="1100" b="1"/>
        </a:p>
      </xdr:txBody>
    </xdr:sp>
    <xdr:clientData/>
  </xdr:twoCellAnchor>
  <xdr:twoCellAnchor>
    <xdr:from>
      <xdr:col>0</xdr:col>
      <xdr:colOff>0</xdr:colOff>
      <xdr:row>42</xdr:row>
      <xdr:rowOff>76536</xdr:rowOff>
    </xdr:from>
    <xdr:to>
      <xdr:col>1</xdr:col>
      <xdr:colOff>1143002</xdr:colOff>
      <xdr:row>43</xdr:row>
      <xdr:rowOff>173803</xdr:rowOff>
    </xdr:to>
    <xdr:sp macro="" textlink="">
      <xdr:nvSpPr>
        <xdr:cNvPr id="31" name="Retângulo 30">
          <a:extLst>
            <a:ext uri="{FF2B5EF4-FFF2-40B4-BE49-F238E27FC236}">
              <a16:creationId xmlns:a16="http://schemas.microsoft.com/office/drawing/2014/main" id="{B3EF16BC-F506-BCD3-D0A9-ED77F35717F3}"/>
            </a:ext>
          </a:extLst>
        </xdr:cNvPr>
        <xdr:cNvSpPr/>
      </xdr:nvSpPr>
      <xdr:spPr>
        <a:xfrm>
          <a:off x="0" y="7696536"/>
          <a:ext cx="2297208" cy="27656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/>
            <a:t>TEE FÊMEA - 1,8</a:t>
          </a:r>
          <a:endParaRPr lang="pt-BR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605117</xdr:colOff>
      <xdr:row>209</xdr:row>
      <xdr:rowOff>179293</xdr:rowOff>
    </xdr:from>
    <xdr:to>
      <xdr:col>16</xdr:col>
      <xdr:colOff>210324</xdr:colOff>
      <xdr:row>220</xdr:row>
      <xdr:rowOff>172121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712A76DF-22BC-E240-319E-BE310157B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17" y="37248352"/>
          <a:ext cx="9271849" cy="1949823"/>
        </a:xfrm>
        <a:prstGeom prst="rect">
          <a:avLst/>
        </a:prstGeom>
      </xdr:spPr>
    </xdr:pic>
    <xdr:clientData/>
  </xdr:twoCellAnchor>
  <xdr:twoCellAnchor editAs="oneCell">
    <xdr:from>
      <xdr:col>1</xdr:col>
      <xdr:colOff>325756</xdr:colOff>
      <xdr:row>0</xdr:row>
      <xdr:rowOff>0</xdr:rowOff>
    </xdr:from>
    <xdr:to>
      <xdr:col>8</xdr:col>
      <xdr:colOff>513646</xdr:colOff>
      <xdr:row>8</xdr:row>
      <xdr:rowOff>132061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B586EC-0DBF-45EA-9A5F-14168D27F4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4388" b="18789"/>
        <a:stretch>
          <a:fillRect/>
        </a:stretch>
      </xdr:blipFill>
      <xdr:spPr>
        <a:xfrm>
          <a:off x="935356" y="0"/>
          <a:ext cx="4455090" cy="1587481"/>
        </a:xfrm>
        <a:prstGeom prst="rect">
          <a:avLst/>
        </a:prstGeom>
      </xdr:spPr>
    </xdr:pic>
    <xdr:clientData/>
  </xdr:twoCellAnchor>
  <xdr:twoCellAnchor editAs="oneCell">
    <xdr:from>
      <xdr:col>11</xdr:col>
      <xdr:colOff>198120</xdr:colOff>
      <xdr:row>3</xdr:row>
      <xdr:rowOff>171450</xdr:rowOff>
    </xdr:from>
    <xdr:to>
      <xdr:col>11</xdr:col>
      <xdr:colOff>226335</xdr:colOff>
      <xdr:row>6</xdr:row>
      <xdr:rowOff>15375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EFE270B-041F-4811-B833-96F3E7AD7AFA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 flipH="1">
          <a:off x="12390120" y="895350"/>
          <a:ext cx="28215" cy="383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139115</xdr:colOff>
      <xdr:row>0</xdr:row>
      <xdr:rowOff>180974</xdr:rowOff>
    </xdr:from>
    <xdr:to>
      <xdr:col>22</xdr:col>
      <xdr:colOff>400087</xdr:colOff>
      <xdr:row>10</xdr:row>
      <xdr:rowOff>173354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B7274A34-BBA6-4063-9C03-A06A6B63B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02315" y="180974"/>
          <a:ext cx="3308972" cy="1838325"/>
        </a:xfrm>
        <a:prstGeom prst="rect">
          <a:avLst/>
        </a:prstGeom>
      </xdr:spPr>
    </xdr:pic>
    <xdr:clientData/>
  </xdr:twoCellAnchor>
  <xdr:twoCellAnchor editAs="oneCell">
    <xdr:from>
      <xdr:col>0</xdr:col>
      <xdr:colOff>463139</xdr:colOff>
      <xdr:row>18</xdr:row>
      <xdr:rowOff>139065</xdr:rowOff>
    </xdr:from>
    <xdr:to>
      <xdr:col>7</xdr:col>
      <xdr:colOff>247651</xdr:colOff>
      <xdr:row>42</xdr:row>
      <xdr:rowOff>20955</xdr:rowOff>
    </xdr:to>
    <xdr:pic>
      <xdr:nvPicPr>
        <xdr:cNvPr id="4" name="Imagem 3" descr="Diagrama&#10;&#10;Descrição gerada automaticamente">
          <a:extLst>
            <a:ext uri="{FF2B5EF4-FFF2-40B4-BE49-F238E27FC236}">
              <a16:creationId xmlns:a16="http://schemas.microsoft.com/office/drawing/2014/main" id="{D3BD73FB-2A1E-D14B-ABE9-58417C326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139" y="3539490"/>
          <a:ext cx="4047902" cy="4229100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371475</xdr:colOff>
      <xdr:row>18</xdr:row>
      <xdr:rowOff>114300</xdr:rowOff>
    </xdr:from>
    <xdr:to>
      <xdr:col>18</xdr:col>
      <xdr:colOff>556168</xdr:colOff>
      <xdr:row>42</xdr:row>
      <xdr:rowOff>60095</xdr:rowOff>
    </xdr:to>
    <xdr:pic>
      <xdr:nvPicPr>
        <xdr:cNvPr id="5" name="Imagem 4" descr="Diagrama, Desenho técnico&#10;&#10;Descrição gerada automaticamente">
          <a:extLst>
            <a:ext uri="{FF2B5EF4-FFF2-40B4-BE49-F238E27FC236}">
              <a16:creationId xmlns:a16="http://schemas.microsoft.com/office/drawing/2014/main" id="{619ADBCE-A289-E3E8-2DA2-DF9C014D5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5" y="3514725"/>
          <a:ext cx="3838483" cy="429681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</xdr:colOff>
      <xdr:row>56</xdr:row>
      <xdr:rowOff>49530</xdr:rowOff>
    </xdr:from>
    <xdr:to>
      <xdr:col>10</xdr:col>
      <xdr:colOff>513112</xdr:colOff>
      <xdr:row>70</xdr:row>
      <xdr:rowOff>167640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1741B9C-E749-1536-6DFC-DFFB77883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6270" y="15032355"/>
          <a:ext cx="5976652" cy="265557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61</xdr:row>
      <xdr:rowOff>76200</xdr:rowOff>
    </xdr:from>
    <xdr:to>
      <xdr:col>5</xdr:col>
      <xdr:colOff>600075</xdr:colOff>
      <xdr:row>63</xdr:row>
      <xdr:rowOff>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124295E-E278-8E28-BF67-5E24F59A6945}"/>
            </a:ext>
          </a:extLst>
        </xdr:cNvPr>
        <xdr:cNvSpPr/>
      </xdr:nvSpPr>
      <xdr:spPr>
        <a:xfrm>
          <a:off x="752475" y="15963900"/>
          <a:ext cx="2895600" cy="2857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0</xdr:colOff>
      <xdr:row>79</xdr:row>
      <xdr:rowOff>11430</xdr:rowOff>
    </xdr:from>
    <xdr:to>
      <xdr:col>10</xdr:col>
      <xdr:colOff>358647</xdr:colOff>
      <xdr:row>92</xdr:row>
      <xdr:rowOff>203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41B82ADB-9173-8583-4C99-BDC13668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4451330"/>
          <a:ext cx="5845047" cy="2341448"/>
        </a:xfrm>
        <a:prstGeom prst="rect">
          <a:avLst/>
        </a:prstGeom>
      </xdr:spPr>
    </xdr:pic>
    <xdr:clientData/>
  </xdr:twoCellAnchor>
  <xdr:twoCellAnchor>
    <xdr:from>
      <xdr:col>6</xdr:col>
      <xdr:colOff>323850</xdr:colOff>
      <xdr:row>87</xdr:row>
      <xdr:rowOff>57150</xdr:rowOff>
    </xdr:from>
    <xdr:to>
      <xdr:col>8</xdr:col>
      <xdr:colOff>133350</xdr:colOff>
      <xdr:row>88</xdr:row>
      <xdr:rowOff>160020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6BDA76B-B163-4467-9C8B-FAEB8BD51568}"/>
            </a:ext>
          </a:extLst>
        </xdr:cNvPr>
        <xdr:cNvSpPr/>
      </xdr:nvSpPr>
      <xdr:spPr>
        <a:xfrm>
          <a:off x="3981450" y="15944850"/>
          <a:ext cx="1028700" cy="28384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0</xdr:colOff>
      <xdr:row>100</xdr:row>
      <xdr:rowOff>0</xdr:rowOff>
    </xdr:from>
    <xdr:ext cx="5258256" cy="3676968"/>
    <xdr:pic>
      <xdr:nvPicPr>
        <xdr:cNvPr id="14" name="Imagem 13">
          <a:extLst>
            <a:ext uri="{FF2B5EF4-FFF2-40B4-BE49-F238E27FC236}">
              <a16:creationId xmlns:a16="http://schemas.microsoft.com/office/drawing/2014/main" id="{82D38BD2-02C0-4966-B939-12CA67C88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10277475"/>
          <a:ext cx="5258256" cy="367696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123</xdr:row>
      <xdr:rowOff>131445</xdr:rowOff>
    </xdr:from>
    <xdr:ext cx="3787468" cy="1333616"/>
    <xdr:pic>
      <xdr:nvPicPr>
        <xdr:cNvPr id="15" name="Imagem 14">
          <a:extLst>
            <a:ext uri="{FF2B5EF4-FFF2-40B4-BE49-F238E27FC236}">
              <a16:creationId xmlns:a16="http://schemas.microsoft.com/office/drawing/2014/main" id="{797CCA68-601E-440A-B53F-52C34F87E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14575155"/>
          <a:ext cx="3787468" cy="1333616"/>
        </a:xfrm>
        <a:prstGeom prst="rect">
          <a:avLst/>
        </a:prstGeom>
      </xdr:spPr>
    </xdr:pic>
    <xdr:clientData/>
  </xdr:oneCellAnchor>
  <xdr:twoCellAnchor>
    <xdr:from>
      <xdr:col>3</xdr:col>
      <xdr:colOff>510540</xdr:colOff>
      <xdr:row>126</xdr:row>
      <xdr:rowOff>131445</xdr:rowOff>
    </xdr:from>
    <xdr:to>
      <xdr:col>5</xdr:col>
      <xdr:colOff>381000</xdr:colOff>
      <xdr:row>128</xdr:row>
      <xdr:rowOff>45720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6DE852F4-1400-4A14-9881-2C0680F480A6}"/>
            </a:ext>
          </a:extLst>
        </xdr:cNvPr>
        <xdr:cNvSpPr/>
      </xdr:nvSpPr>
      <xdr:spPr>
        <a:xfrm>
          <a:off x="2339340" y="23077170"/>
          <a:ext cx="1089660" cy="27622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209550</xdr:colOff>
      <xdr:row>103</xdr:row>
      <xdr:rowOff>114300</xdr:rowOff>
    </xdr:from>
    <xdr:to>
      <xdr:col>11</xdr:col>
      <xdr:colOff>590550</xdr:colOff>
      <xdr:row>115</xdr:row>
      <xdr:rowOff>114300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F363317A-1B1A-CD51-BF43-CA293CF45C8B}"/>
            </a:ext>
          </a:extLst>
        </xdr:cNvPr>
        <xdr:cNvCxnSpPr/>
      </xdr:nvCxnSpPr>
      <xdr:spPr>
        <a:xfrm flipV="1">
          <a:off x="5086350" y="18897600"/>
          <a:ext cx="2209800" cy="2171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278130</xdr:colOff>
      <xdr:row>141</xdr:row>
      <xdr:rowOff>53340</xdr:rowOff>
    </xdr:from>
    <xdr:to>
      <xdr:col>7</xdr:col>
      <xdr:colOff>588978</xdr:colOff>
      <xdr:row>151</xdr:row>
      <xdr:rowOff>16996</xdr:rowOff>
    </xdr:to>
    <xdr:pic>
      <xdr:nvPicPr>
        <xdr:cNvPr id="19" name="Imagem 18" descr="Imagem em preto e branco&#10;&#10;Descrição gerada automaticamente com confiança média">
          <a:extLst>
            <a:ext uri="{FF2B5EF4-FFF2-40B4-BE49-F238E27FC236}">
              <a16:creationId xmlns:a16="http://schemas.microsoft.com/office/drawing/2014/main" id="{C71A64A8-0F40-20EC-D46D-183AD3D5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248" y="25468281"/>
          <a:ext cx="3941554" cy="17565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49530</xdr:rowOff>
    </xdr:from>
    <xdr:to>
      <xdr:col>11</xdr:col>
      <xdr:colOff>591129</xdr:colOff>
      <xdr:row>163</xdr:row>
      <xdr:rowOff>171554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D81710EC-EFA3-35C6-EDB7-EC61CC2F9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" y="28786455"/>
          <a:ext cx="6687129" cy="1196444"/>
        </a:xfrm>
        <a:prstGeom prst="rect">
          <a:avLst/>
        </a:prstGeom>
      </xdr:spPr>
    </xdr:pic>
    <xdr:clientData/>
  </xdr:twoCellAnchor>
  <xdr:twoCellAnchor>
    <xdr:from>
      <xdr:col>5</xdr:col>
      <xdr:colOff>7951</xdr:colOff>
      <xdr:row>160</xdr:row>
      <xdr:rowOff>95250</xdr:rowOff>
    </xdr:from>
    <xdr:to>
      <xdr:col>6</xdr:col>
      <xdr:colOff>508293</xdr:colOff>
      <xdr:row>161</xdr:row>
      <xdr:rowOff>169545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8E92E316-0AE2-4B59-85D4-4502D279DA70}"/>
            </a:ext>
          </a:extLst>
        </xdr:cNvPr>
        <xdr:cNvSpPr/>
      </xdr:nvSpPr>
      <xdr:spPr>
        <a:xfrm>
          <a:off x="3033539" y="29096074"/>
          <a:ext cx="1105460" cy="25358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222222</xdr:colOff>
      <xdr:row>148</xdr:row>
      <xdr:rowOff>0</xdr:rowOff>
    </xdr:from>
    <xdr:to>
      <xdr:col>4</xdr:col>
      <xdr:colOff>97043</xdr:colOff>
      <xdr:row>152</xdr:row>
      <xdr:rowOff>158274</xdr:rowOff>
    </xdr:to>
    <xdr:cxnSp macro="">
      <xdr:nvCxnSpPr>
        <xdr:cNvPr id="24" name="Conector reto 23">
          <a:extLst>
            <a:ext uri="{FF2B5EF4-FFF2-40B4-BE49-F238E27FC236}">
              <a16:creationId xmlns:a16="http://schemas.microsoft.com/office/drawing/2014/main" id="{3696EE12-9ACB-039D-65D1-6ABDE28CE189}"/>
            </a:ext>
          </a:extLst>
        </xdr:cNvPr>
        <xdr:cNvCxnSpPr/>
      </xdr:nvCxnSpPr>
      <xdr:spPr>
        <a:xfrm>
          <a:off x="1432457" y="26670000"/>
          <a:ext cx="1085057" cy="8754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230840</xdr:colOff>
      <xdr:row>141</xdr:row>
      <xdr:rowOff>118782</xdr:rowOff>
    </xdr:from>
    <xdr:to>
      <xdr:col>8</xdr:col>
      <xdr:colOff>327884</xdr:colOff>
      <xdr:row>144</xdr:row>
      <xdr:rowOff>148589</xdr:rowOff>
    </xdr:to>
    <xdr:cxnSp macro="">
      <xdr:nvCxnSpPr>
        <xdr:cNvPr id="26" name="Conector reto 25">
          <a:extLst>
            <a:ext uri="{FF2B5EF4-FFF2-40B4-BE49-F238E27FC236}">
              <a16:creationId xmlns:a16="http://schemas.microsoft.com/office/drawing/2014/main" id="{AD2CCA19-8A4B-4688-BFC0-B125EC2DFB52}"/>
            </a:ext>
          </a:extLst>
        </xdr:cNvPr>
        <xdr:cNvCxnSpPr/>
      </xdr:nvCxnSpPr>
      <xdr:spPr>
        <a:xfrm>
          <a:off x="4466664" y="25533723"/>
          <a:ext cx="702161" cy="56769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481853</xdr:colOff>
      <xdr:row>143</xdr:row>
      <xdr:rowOff>134471</xdr:rowOff>
    </xdr:from>
    <xdr:to>
      <xdr:col>8</xdr:col>
      <xdr:colOff>97267</xdr:colOff>
      <xdr:row>151</xdr:row>
      <xdr:rowOff>172344</xdr:rowOff>
    </xdr:to>
    <xdr:cxnSp macro="">
      <xdr:nvCxnSpPr>
        <xdr:cNvPr id="28" name="Conector reto 27">
          <a:extLst>
            <a:ext uri="{FF2B5EF4-FFF2-40B4-BE49-F238E27FC236}">
              <a16:creationId xmlns:a16="http://schemas.microsoft.com/office/drawing/2014/main" id="{735D1BEB-1768-A2EE-ECEC-17A50565A894}"/>
            </a:ext>
          </a:extLst>
        </xdr:cNvPr>
        <xdr:cNvCxnSpPr/>
      </xdr:nvCxnSpPr>
      <xdr:spPr>
        <a:xfrm flipV="1">
          <a:off x="2297206" y="25908000"/>
          <a:ext cx="2641002" cy="1472226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22187</xdr:colOff>
      <xdr:row>147</xdr:row>
      <xdr:rowOff>93233</xdr:rowOff>
    </xdr:from>
    <xdr:ext cx="294761" cy="342851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B90F8205-6FE9-B345-21F4-47D6E9E3514B}"/>
            </a:ext>
          </a:extLst>
        </xdr:cNvPr>
        <xdr:cNvSpPr txBox="1"/>
      </xdr:nvSpPr>
      <xdr:spPr>
        <a:xfrm>
          <a:off x="3652893" y="26583939"/>
          <a:ext cx="294761" cy="342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>
              <a:solidFill>
                <a:srgbClr val="FF0000"/>
              </a:solidFill>
            </a:rPr>
            <a:t>X</a:t>
          </a:r>
        </a:p>
      </xdr:txBody>
    </xdr:sp>
    <xdr:clientData/>
  </xdr:oneCellAnchor>
  <xdr:twoCellAnchor editAs="oneCell">
    <xdr:from>
      <xdr:col>0</xdr:col>
      <xdr:colOff>605117</xdr:colOff>
      <xdr:row>174</xdr:row>
      <xdr:rowOff>0</xdr:rowOff>
    </xdr:from>
    <xdr:to>
      <xdr:col>18</xdr:col>
      <xdr:colOff>17026</xdr:colOff>
      <xdr:row>181</xdr:row>
      <xdr:rowOff>16921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1CEC1CF3-33C6-AB12-7286-5F6B25F2A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5117" y="31331647"/>
          <a:ext cx="10304027" cy="1266265"/>
        </a:xfrm>
        <a:prstGeom prst="rect">
          <a:avLst/>
        </a:prstGeom>
      </xdr:spPr>
    </xdr:pic>
    <xdr:clientData/>
  </xdr:twoCellAnchor>
  <xdr:twoCellAnchor>
    <xdr:from>
      <xdr:col>1</xdr:col>
      <xdr:colOff>201704</xdr:colOff>
      <xdr:row>178</xdr:row>
      <xdr:rowOff>44823</xdr:rowOff>
    </xdr:from>
    <xdr:to>
      <xdr:col>5</xdr:col>
      <xdr:colOff>246529</xdr:colOff>
      <xdr:row>179</xdr:row>
      <xdr:rowOff>132454</xdr:rowOff>
    </xdr:to>
    <xdr:sp macro="" textlink="">
      <xdr:nvSpPr>
        <xdr:cNvPr id="39" name="Retângulo 38">
          <a:extLst>
            <a:ext uri="{FF2B5EF4-FFF2-40B4-BE49-F238E27FC236}">
              <a16:creationId xmlns:a16="http://schemas.microsoft.com/office/drawing/2014/main" id="{0321DA10-0BAF-4789-9904-7078745D60F0}"/>
            </a:ext>
          </a:extLst>
        </xdr:cNvPr>
        <xdr:cNvSpPr/>
      </xdr:nvSpPr>
      <xdr:spPr>
        <a:xfrm>
          <a:off x="806822" y="32093647"/>
          <a:ext cx="2465295" cy="26692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590102</xdr:colOff>
      <xdr:row>178</xdr:row>
      <xdr:rowOff>33617</xdr:rowOff>
    </xdr:from>
    <xdr:to>
      <xdr:col>16</xdr:col>
      <xdr:colOff>253927</xdr:colOff>
      <xdr:row>179</xdr:row>
      <xdr:rowOff>143660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5B14282F-B8D3-EB0B-09BB-0F00EDB52279}"/>
            </a:ext>
          </a:extLst>
        </xdr:cNvPr>
        <xdr:cNvSpPr/>
      </xdr:nvSpPr>
      <xdr:spPr>
        <a:xfrm>
          <a:off x="7851514" y="32082441"/>
          <a:ext cx="2084295" cy="289337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278130</xdr:colOff>
      <xdr:row>193</xdr:row>
      <xdr:rowOff>53340</xdr:rowOff>
    </xdr:from>
    <xdr:ext cx="3937744" cy="1752787"/>
    <xdr:pic>
      <xdr:nvPicPr>
        <xdr:cNvPr id="6" name="Imagem 5" descr="Imagem em preto e branco&#10;&#10;Descrição gerada automaticamente com confiança média">
          <a:extLst>
            <a:ext uri="{FF2B5EF4-FFF2-40B4-BE49-F238E27FC236}">
              <a16:creationId xmlns:a16="http://schemas.microsoft.com/office/drawing/2014/main" id="{9A68F48B-68FA-41C4-BD82-0F35B6464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58" y="25472091"/>
          <a:ext cx="3937744" cy="1752787"/>
        </a:xfrm>
        <a:prstGeom prst="rect">
          <a:avLst/>
        </a:prstGeom>
      </xdr:spPr>
    </xdr:pic>
    <xdr:clientData/>
  </xdr:oneCellAnchor>
  <xdr:twoCellAnchor>
    <xdr:from>
      <xdr:col>12</xdr:col>
      <xdr:colOff>474233</xdr:colOff>
      <xdr:row>216</xdr:row>
      <xdr:rowOff>164278</xdr:rowOff>
    </xdr:from>
    <xdr:to>
      <xdr:col>15</xdr:col>
      <xdr:colOff>143772</xdr:colOff>
      <xdr:row>218</xdr:row>
      <xdr:rowOff>98837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5250D088-D933-A2E7-B7A0-B982DE26ACE3}"/>
            </a:ext>
          </a:extLst>
        </xdr:cNvPr>
        <xdr:cNvSpPr/>
      </xdr:nvSpPr>
      <xdr:spPr>
        <a:xfrm>
          <a:off x="7735645" y="38488396"/>
          <a:ext cx="1484892" cy="293147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437030</xdr:colOff>
      <xdr:row>231</xdr:row>
      <xdr:rowOff>67236</xdr:rowOff>
    </xdr:from>
    <xdr:to>
      <xdr:col>7</xdr:col>
      <xdr:colOff>212017</xdr:colOff>
      <xdr:row>250</xdr:row>
      <xdr:rowOff>136376</xdr:rowOff>
    </xdr:to>
    <xdr:pic>
      <xdr:nvPicPr>
        <xdr:cNvPr id="29" name="Imagem 28" descr="Diagrama&#10;&#10;Descrição gerada automaticamente">
          <a:extLst>
            <a:ext uri="{FF2B5EF4-FFF2-40B4-BE49-F238E27FC236}">
              <a16:creationId xmlns:a16="http://schemas.microsoft.com/office/drawing/2014/main" id="{67DC563D-209D-4133-88D6-E02CCB45B6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030"/>
        <a:stretch>
          <a:fillRect/>
        </a:stretch>
      </xdr:blipFill>
      <xdr:spPr>
        <a:xfrm>
          <a:off x="437030" y="41618648"/>
          <a:ext cx="4022241" cy="3471918"/>
        </a:xfrm>
        <a:prstGeom prst="rect">
          <a:avLst/>
        </a:prstGeom>
      </xdr:spPr>
    </xdr:pic>
    <xdr:clientData/>
  </xdr:twoCellAnchor>
  <xdr:twoCellAnchor editAs="oneCell">
    <xdr:from>
      <xdr:col>8</xdr:col>
      <xdr:colOff>222214</xdr:colOff>
      <xdr:row>238</xdr:row>
      <xdr:rowOff>56028</xdr:rowOff>
    </xdr:from>
    <xdr:to>
      <xdr:col>14</xdr:col>
      <xdr:colOff>132791</xdr:colOff>
      <xdr:row>244</xdr:row>
      <xdr:rowOff>59571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866BA93E-8FC9-7A8A-1860-37699AA804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14564"/>
        <a:stretch>
          <a:fillRect/>
        </a:stretch>
      </xdr:blipFill>
      <xdr:spPr>
        <a:xfrm>
          <a:off x="5063155" y="42862499"/>
          <a:ext cx="3537473" cy="1075497"/>
        </a:xfrm>
        <a:prstGeom prst="rect">
          <a:avLst/>
        </a:prstGeom>
      </xdr:spPr>
    </xdr:pic>
    <xdr:clientData/>
  </xdr:twoCellAnchor>
  <xdr:twoCellAnchor>
    <xdr:from>
      <xdr:col>5</xdr:col>
      <xdr:colOff>549089</xdr:colOff>
      <xdr:row>232</xdr:row>
      <xdr:rowOff>41014</xdr:rowOff>
    </xdr:from>
    <xdr:to>
      <xdr:col>6</xdr:col>
      <xdr:colOff>324970</xdr:colOff>
      <xdr:row>233</xdr:row>
      <xdr:rowOff>145342</xdr:rowOff>
    </xdr:to>
    <xdr:sp macro="" textlink="">
      <xdr:nvSpPr>
        <xdr:cNvPr id="31" name="Retângulo 30">
          <a:extLst>
            <a:ext uri="{FF2B5EF4-FFF2-40B4-BE49-F238E27FC236}">
              <a16:creationId xmlns:a16="http://schemas.microsoft.com/office/drawing/2014/main" id="{08925D13-2F30-4458-BC8C-CE0ADEB94CB5}"/>
            </a:ext>
          </a:extLst>
        </xdr:cNvPr>
        <xdr:cNvSpPr/>
      </xdr:nvSpPr>
      <xdr:spPr>
        <a:xfrm>
          <a:off x="3574677" y="41771720"/>
          <a:ext cx="380999" cy="283622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309955</xdr:colOff>
      <xdr:row>232</xdr:row>
      <xdr:rowOff>134471</xdr:rowOff>
    </xdr:from>
    <xdr:to>
      <xdr:col>9</xdr:col>
      <xdr:colOff>560295</xdr:colOff>
      <xdr:row>232</xdr:row>
      <xdr:rowOff>134471</xdr:rowOff>
    </xdr:to>
    <xdr:cxnSp macro="">
      <xdr:nvCxnSpPr>
        <xdr:cNvPr id="32" name="Conector de Seta Reta 31">
          <a:extLst>
            <a:ext uri="{FF2B5EF4-FFF2-40B4-BE49-F238E27FC236}">
              <a16:creationId xmlns:a16="http://schemas.microsoft.com/office/drawing/2014/main" id="{330400EE-3D3B-43A6-9A37-1DCC0DF34708}"/>
            </a:ext>
          </a:extLst>
        </xdr:cNvPr>
        <xdr:cNvCxnSpPr/>
      </xdr:nvCxnSpPr>
      <xdr:spPr>
        <a:xfrm>
          <a:off x="3940661" y="41865177"/>
          <a:ext cx="206569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548863</xdr:colOff>
      <xdr:row>231</xdr:row>
      <xdr:rowOff>172123</xdr:rowOff>
    </xdr:from>
    <xdr:ext cx="2036711" cy="342851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E9C104CF-C129-1DC4-E437-C973A39C84E3}"/>
            </a:ext>
          </a:extLst>
        </xdr:cNvPr>
        <xdr:cNvSpPr txBox="1"/>
      </xdr:nvSpPr>
      <xdr:spPr>
        <a:xfrm>
          <a:off x="5994922" y="41723535"/>
          <a:ext cx="2036711" cy="342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>
              <a:solidFill>
                <a:srgbClr val="FF0000"/>
              </a:solidFill>
            </a:rPr>
            <a:t>regulador mais crítico</a:t>
          </a:r>
        </a:p>
      </xdr:txBody>
    </xdr:sp>
    <xdr:clientData/>
  </xdr:oneCellAnchor>
  <xdr:oneCellAnchor>
    <xdr:from>
      <xdr:col>10</xdr:col>
      <xdr:colOff>178845</xdr:colOff>
      <xdr:row>244</xdr:row>
      <xdr:rowOff>134471</xdr:rowOff>
    </xdr:from>
    <xdr:ext cx="2219215" cy="843885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F20E1499-A71B-3C39-D561-43132B007AED}"/>
            </a:ext>
          </a:extLst>
        </xdr:cNvPr>
        <xdr:cNvSpPr txBox="1"/>
      </xdr:nvSpPr>
      <xdr:spPr>
        <a:xfrm>
          <a:off x="6230021" y="44016706"/>
          <a:ext cx="2219215" cy="843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1">
              <a:solidFill>
                <a:srgbClr val="FF0000"/>
              </a:solidFill>
            </a:rPr>
            <a:t>todos os pavimentos possuem um regulador mais crítico</a:t>
          </a:r>
        </a:p>
      </xdr:txBody>
    </xdr:sp>
    <xdr:clientData/>
  </xdr:oneCellAnchor>
  <xdr:twoCellAnchor>
    <xdr:from>
      <xdr:col>11</xdr:col>
      <xdr:colOff>563092</xdr:colOff>
      <xdr:row>233</xdr:row>
      <xdr:rowOff>139739</xdr:rowOff>
    </xdr:from>
    <xdr:to>
      <xdr:col>11</xdr:col>
      <xdr:colOff>571725</xdr:colOff>
      <xdr:row>237</xdr:row>
      <xdr:rowOff>151168</xdr:rowOff>
    </xdr:to>
    <xdr:cxnSp macro="">
      <xdr:nvCxnSpPr>
        <xdr:cNvPr id="37" name="Conector de Seta Reta 36">
          <a:extLst>
            <a:ext uri="{FF2B5EF4-FFF2-40B4-BE49-F238E27FC236}">
              <a16:creationId xmlns:a16="http://schemas.microsoft.com/office/drawing/2014/main" id="{1D236670-78A9-4328-BC31-6CB6649FF1BE}"/>
            </a:ext>
          </a:extLst>
        </xdr:cNvPr>
        <xdr:cNvCxnSpPr/>
      </xdr:nvCxnSpPr>
      <xdr:spPr>
        <a:xfrm flipH="1">
          <a:off x="7219386" y="42049739"/>
          <a:ext cx="8633" cy="72860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286083</xdr:colOff>
      <xdr:row>257</xdr:row>
      <xdr:rowOff>29585</xdr:rowOff>
    </xdr:from>
    <xdr:to>
      <xdr:col>25</xdr:col>
      <xdr:colOff>288832</xdr:colOff>
      <xdr:row>270</xdr:row>
      <xdr:rowOff>59618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94DB34E3-36D6-37E3-5DEC-FD10B73D9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6083" y="46242644"/>
          <a:ext cx="15126880" cy="2372286"/>
        </a:xfrm>
        <a:prstGeom prst="rect">
          <a:avLst/>
        </a:prstGeom>
      </xdr:spPr>
    </xdr:pic>
    <xdr:clientData/>
  </xdr:twoCellAnchor>
  <xdr:twoCellAnchor>
    <xdr:from>
      <xdr:col>1</xdr:col>
      <xdr:colOff>593912</xdr:colOff>
      <xdr:row>269</xdr:row>
      <xdr:rowOff>24318</xdr:rowOff>
    </xdr:from>
    <xdr:to>
      <xdr:col>3</xdr:col>
      <xdr:colOff>381000</xdr:colOff>
      <xdr:row>270</xdr:row>
      <xdr:rowOff>93459</xdr:rowOff>
    </xdr:to>
    <xdr:sp macro="" textlink="">
      <xdr:nvSpPr>
        <xdr:cNvPr id="45" name="Retângulo 44">
          <a:extLst>
            <a:ext uri="{FF2B5EF4-FFF2-40B4-BE49-F238E27FC236}">
              <a16:creationId xmlns:a16="http://schemas.microsoft.com/office/drawing/2014/main" id="{3D07C44A-46EF-4126-A869-3C7D63DC233B}"/>
            </a:ext>
          </a:extLst>
        </xdr:cNvPr>
        <xdr:cNvSpPr/>
      </xdr:nvSpPr>
      <xdr:spPr>
        <a:xfrm>
          <a:off x="1199030" y="48388906"/>
          <a:ext cx="997323" cy="24843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23</xdr:col>
      <xdr:colOff>465156</xdr:colOff>
      <xdr:row>269</xdr:row>
      <xdr:rowOff>136375</xdr:rowOff>
    </xdr:from>
    <xdr:to>
      <xdr:col>24</xdr:col>
      <xdr:colOff>196214</xdr:colOff>
      <xdr:row>271</xdr:row>
      <xdr:rowOff>16921</xdr:rowOff>
    </xdr:to>
    <xdr:cxnSp macro="">
      <xdr:nvCxnSpPr>
        <xdr:cNvPr id="46" name="Conector de Seta Reta 45">
          <a:extLst>
            <a:ext uri="{FF2B5EF4-FFF2-40B4-BE49-F238E27FC236}">
              <a16:creationId xmlns:a16="http://schemas.microsoft.com/office/drawing/2014/main" id="{31BBC8AA-D948-4BC9-82A2-2BD8D33B8B9E}"/>
            </a:ext>
          </a:extLst>
        </xdr:cNvPr>
        <xdr:cNvCxnSpPr/>
      </xdr:nvCxnSpPr>
      <xdr:spPr>
        <a:xfrm flipV="1">
          <a:off x="14382862" y="48500963"/>
          <a:ext cx="336176" cy="23913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279</xdr:row>
      <xdr:rowOff>0</xdr:rowOff>
    </xdr:from>
    <xdr:to>
      <xdr:col>15</xdr:col>
      <xdr:colOff>459767</xdr:colOff>
      <xdr:row>291</xdr:row>
      <xdr:rowOff>168960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BFD9667D-95A4-D701-F28E-AE3C7687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5118" y="50157529"/>
          <a:ext cx="8931414" cy="2309060"/>
        </a:xfrm>
        <a:prstGeom prst="rect">
          <a:avLst/>
        </a:prstGeom>
      </xdr:spPr>
    </xdr:pic>
    <xdr:clientData/>
  </xdr:twoCellAnchor>
  <xdr:twoCellAnchor>
    <xdr:from>
      <xdr:col>4</xdr:col>
      <xdr:colOff>394111</xdr:colOff>
      <xdr:row>281</xdr:row>
      <xdr:rowOff>18601</xdr:rowOff>
    </xdr:from>
    <xdr:to>
      <xdr:col>6</xdr:col>
      <xdr:colOff>186914</xdr:colOff>
      <xdr:row>292</xdr:row>
      <xdr:rowOff>22412</xdr:rowOff>
    </xdr:to>
    <xdr:sp macro="" textlink="">
      <xdr:nvSpPr>
        <xdr:cNvPr id="50" name="Retângulo 49">
          <a:extLst>
            <a:ext uri="{FF2B5EF4-FFF2-40B4-BE49-F238E27FC236}">
              <a16:creationId xmlns:a16="http://schemas.microsoft.com/office/drawing/2014/main" id="{7D4D167A-AB77-4028-AF8F-74457873C6E7}"/>
            </a:ext>
          </a:extLst>
        </xdr:cNvPr>
        <xdr:cNvSpPr/>
      </xdr:nvSpPr>
      <xdr:spPr>
        <a:xfrm>
          <a:off x="2814582" y="50534719"/>
          <a:ext cx="1003038" cy="1976046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201706</xdr:colOff>
      <xdr:row>284</xdr:row>
      <xdr:rowOff>33618</xdr:rowOff>
    </xdr:from>
    <xdr:to>
      <xdr:col>14</xdr:col>
      <xdr:colOff>446331</xdr:colOff>
      <xdr:row>285</xdr:row>
      <xdr:rowOff>142091</xdr:rowOff>
    </xdr:to>
    <xdr:cxnSp macro="">
      <xdr:nvCxnSpPr>
        <xdr:cNvPr id="51" name="Conector de Seta Reta 50">
          <a:extLst>
            <a:ext uri="{FF2B5EF4-FFF2-40B4-BE49-F238E27FC236}">
              <a16:creationId xmlns:a16="http://schemas.microsoft.com/office/drawing/2014/main" id="{C6DD03BC-1CF1-4E07-93DD-EB9D91DE9B69}"/>
            </a:ext>
          </a:extLst>
        </xdr:cNvPr>
        <xdr:cNvCxnSpPr/>
      </xdr:nvCxnSpPr>
      <xdr:spPr>
        <a:xfrm flipH="1" flipV="1">
          <a:off x="8673353" y="51087618"/>
          <a:ext cx="244625" cy="28776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295</xdr:row>
      <xdr:rowOff>0</xdr:rowOff>
    </xdr:from>
    <xdr:to>
      <xdr:col>15</xdr:col>
      <xdr:colOff>440116</xdr:colOff>
      <xdr:row>308</xdr:row>
      <xdr:rowOff>20731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84607DC8-83BE-E44C-8976-05FCB7937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5118" y="53026235"/>
          <a:ext cx="8919383" cy="2342030"/>
        </a:xfrm>
        <a:prstGeom prst="rect">
          <a:avLst/>
        </a:prstGeom>
      </xdr:spPr>
    </xdr:pic>
    <xdr:clientData/>
  </xdr:twoCellAnchor>
  <xdr:twoCellAnchor>
    <xdr:from>
      <xdr:col>3</xdr:col>
      <xdr:colOff>566010</xdr:colOff>
      <xdr:row>297</xdr:row>
      <xdr:rowOff>44822</xdr:rowOff>
    </xdr:from>
    <xdr:to>
      <xdr:col>5</xdr:col>
      <xdr:colOff>349288</xdr:colOff>
      <xdr:row>308</xdr:row>
      <xdr:rowOff>41013</xdr:rowOff>
    </xdr:to>
    <xdr:sp macro="" textlink="">
      <xdr:nvSpPr>
        <xdr:cNvPr id="54" name="Retângulo 53">
          <a:extLst>
            <a:ext uri="{FF2B5EF4-FFF2-40B4-BE49-F238E27FC236}">
              <a16:creationId xmlns:a16="http://schemas.microsoft.com/office/drawing/2014/main" id="{D480F4B1-295D-4DD8-B983-982B73754716}"/>
            </a:ext>
          </a:extLst>
        </xdr:cNvPr>
        <xdr:cNvSpPr/>
      </xdr:nvSpPr>
      <xdr:spPr>
        <a:xfrm>
          <a:off x="2381363" y="53429646"/>
          <a:ext cx="993513" cy="1968426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201705</xdr:colOff>
      <xdr:row>300</xdr:row>
      <xdr:rowOff>56029</xdr:rowOff>
    </xdr:from>
    <xdr:to>
      <xdr:col>14</xdr:col>
      <xdr:colOff>446330</xdr:colOff>
      <xdr:row>301</xdr:row>
      <xdr:rowOff>162597</xdr:rowOff>
    </xdr:to>
    <xdr:cxnSp macro="">
      <xdr:nvCxnSpPr>
        <xdr:cNvPr id="55" name="Conector de Seta Reta 54">
          <a:extLst>
            <a:ext uri="{FF2B5EF4-FFF2-40B4-BE49-F238E27FC236}">
              <a16:creationId xmlns:a16="http://schemas.microsoft.com/office/drawing/2014/main" id="{1DDC3878-710E-4B5C-A51D-E8C76E305F5A}"/>
            </a:ext>
          </a:extLst>
        </xdr:cNvPr>
        <xdr:cNvCxnSpPr/>
      </xdr:nvCxnSpPr>
      <xdr:spPr>
        <a:xfrm flipH="1" flipV="1">
          <a:off x="8673352" y="53978735"/>
          <a:ext cx="244625" cy="28586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11528</xdr:colOff>
      <xdr:row>338</xdr:row>
      <xdr:rowOff>114191</xdr:rowOff>
    </xdr:from>
    <xdr:to>
      <xdr:col>17</xdr:col>
      <xdr:colOff>16345</xdr:colOff>
      <xdr:row>351</xdr:row>
      <xdr:rowOff>57934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0ED5020-6535-ABC6-03DC-324736459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642234" y="56726309"/>
          <a:ext cx="6655396" cy="2274567"/>
        </a:xfrm>
        <a:prstGeom prst="rect">
          <a:avLst/>
        </a:prstGeom>
      </xdr:spPr>
    </xdr:pic>
    <xdr:clientData/>
  </xdr:twoCellAnchor>
  <xdr:twoCellAnchor editAs="oneCell">
    <xdr:from>
      <xdr:col>1</xdr:col>
      <xdr:colOff>481853</xdr:colOff>
      <xdr:row>337</xdr:row>
      <xdr:rowOff>78442</xdr:rowOff>
    </xdr:from>
    <xdr:to>
      <xdr:col>5</xdr:col>
      <xdr:colOff>552261</xdr:colOff>
      <xdr:row>352</xdr:row>
      <xdr:rowOff>21439</xdr:rowOff>
    </xdr:to>
    <xdr:pic>
      <xdr:nvPicPr>
        <xdr:cNvPr id="12" name="Imagem 11" descr="Diagrama&#10;&#10;Descrição gerada automaticamente">
          <a:extLst>
            <a:ext uri="{FF2B5EF4-FFF2-40B4-BE49-F238E27FC236}">
              <a16:creationId xmlns:a16="http://schemas.microsoft.com/office/drawing/2014/main" id="{7EEDCEAC-AAEC-648B-E706-305898431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56511266"/>
          <a:ext cx="2506118" cy="26324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375</xdr:row>
      <xdr:rowOff>11205</xdr:rowOff>
    </xdr:from>
    <xdr:to>
      <xdr:col>8</xdr:col>
      <xdr:colOff>362458</xdr:colOff>
      <xdr:row>389</xdr:row>
      <xdr:rowOff>20634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56D94A11-0BC2-B264-7DAE-5ACD91F11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5118" y="64332970"/>
          <a:ext cx="4598281" cy="2519546"/>
        </a:xfrm>
        <a:prstGeom prst="rect">
          <a:avLst/>
        </a:prstGeom>
      </xdr:spPr>
    </xdr:pic>
    <xdr:clientData/>
  </xdr:twoCellAnchor>
  <xdr:twoCellAnchor editAs="oneCell">
    <xdr:from>
      <xdr:col>0</xdr:col>
      <xdr:colOff>589877</xdr:colOff>
      <xdr:row>315</xdr:row>
      <xdr:rowOff>143773</xdr:rowOff>
    </xdr:from>
    <xdr:to>
      <xdr:col>18</xdr:col>
      <xdr:colOff>339722</xdr:colOff>
      <xdr:row>325</xdr:row>
      <xdr:rowOff>16242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F1C9F7E0-03F2-CE0D-E846-AD55D2B3F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89877" y="56755891"/>
          <a:ext cx="10641963" cy="16596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355</xdr:row>
      <xdr:rowOff>124946</xdr:rowOff>
    </xdr:from>
    <xdr:to>
      <xdr:col>24</xdr:col>
      <xdr:colOff>130244</xdr:colOff>
      <xdr:row>363</xdr:row>
      <xdr:rowOff>130661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C07353C5-532C-50DC-8670-2F7979E83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5118" y="63908828"/>
          <a:ext cx="14047950" cy="1434353"/>
        </a:xfrm>
        <a:prstGeom prst="rect">
          <a:avLst/>
        </a:prstGeom>
      </xdr:spPr>
    </xdr:pic>
    <xdr:clientData/>
  </xdr:twoCellAnchor>
  <xdr:twoCellAnchor>
    <xdr:from>
      <xdr:col>4</xdr:col>
      <xdr:colOff>566009</xdr:colOff>
      <xdr:row>361</xdr:row>
      <xdr:rowOff>151168</xdr:rowOff>
    </xdr:from>
    <xdr:to>
      <xdr:col>7</xdr:col>
      <xdr:colOff>91552</xdr:colOff>
      <xdr:row>363</xdr:row>
      <xdr:rowOff>78442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9262E856-732F-4BA5-9376-DE95D60DC487}"/>
            </a:ext>
          </a:extLst>
        </xdr:cNvPr>
        <xdr:cNvSpPr/>
      </xdr:nvSpPr>
      <xdr:spPr>
        <a:xfrm>
          <a:off x="2986480" y="65010815"/>
          <a:ext cx="1340896" cy="285862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478041</xdr:colOff>
      <xdr:row>361</xdr:row>
      <xdr:rowOff>134023</xdr:rowOff>
    </xdr:from>
    <xdr:to>
      <xdr:col>16</xdr:col>
      <xdr:colOff>123263</xdr:colOff>
      <xdr:row>363</xdr:row>
      <xdr:rowOff>95587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47E0F2A3-9342-C2AB-B420-F3967BF39CB0}"/>
            </a:ext>
          </a:extLst>
        </xdr:cNvPr>
        <xdr:cNvSpPr/>
      </xdr:nvSpPr>
      <xdr:spPr>
        <a:xfrm>
          <a:off x="6529217" y="64993670"/>
          <a:ext cx="3275928" cy="320152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65329</xdr:colOff>
      <xdr:row>393</xdr:row>
      <xdr:rowOff>0</xdr:rowOff>
    </xdr:from>
    <xdr:to>
      <xdr:col>23</xdr:col>
      <xdr:colOff>208953</xdr:colOff>
      <xdr:row>397</xdr:row>
      <xdr:rowOff>95138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88820DE0-D641-E8CB-28B2-974089DFD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b="12424"/>
        <a:stretch>
          <a:fillRect/>
        </a:stretch>
      </xdr:blipFill>
      <xdr:spPr>
        <a:xfrm>
          <a:off x="670447" y="70597059"/>
          <a:ext cx="13465737" cy="816124"/>
        </a:xfrm>
        <a:prstGeom prst="rect">
          <a:avLst/>
        </a:prstGeom>
      </xdr:spPr>
    </xdr:pic>
    <xdr:clientData/>
  </xdr:twoCellAnchor>
  <xdr:twoCellAnchor>
    <xdr:from>
      <xdr:col>2</xdr:col>
      <xdr:colOff>278241</xdr:colOff>
      <xdr:row>395</xdr:row>
      <xdr:rowOff>56029</xdr:rowOff>
    </xdr:from>
    <xdr:to>
      <xdr:col>3</xdr:col>
      <xdr:colOff>459440</xdr:colOff>
      <xdr:row>397</xdr:row>
      <xdr:rowOff>134695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3245E9F-6080-4BCE-9C7D-EF8EBEF86651}"/>
            </a:ext>
          </a:extLst>
        </xdr:cNvPr>
        <xdr:cNvSpPr/>
      </xdr:nvSpPr>
      <xdr:spPr>
        <a:xfrm>
          <a:off x="1488476" y="71011676"/>
          <a:ext cx="786317" cy="437254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21</xdr:col>
      <xdr:colOff>573403</xdr:colOff>
      <xdr:row>395</xdr:row>
      <xdr:rowOff>93457</xdr:rowOff>
    </xdr:from>
    <xdr:to>
      <xdr:col>23</xdr:col>
      <xdr:colOff>141865</xdr:colOff>
      <xdr:row>397</xdr:row>
      <xdr:rowOff>164503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5437DE82-9F8E-41B4-AC9C-0293938DEAD6}"/>
            </a:ext>
          </a:extLst>
        </xdr:cNvPr>
        <xdr:cNvSpPr/>
      </xdr:nvSpPr>
      <xdr:spPr>
        <a:xfrm>
          <a:off x="13280874" y="71049104"/>
          <a:ext cx="778697" cy="429634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B9D91-13ED-470C-855D-15FB57852413}">
  <sheetPr codeName="Planilha1"/>
  <dimension ref="A1:Z50"/>
  <sheetViews>
    <sheetView showGridLines="0" tabSelected="1" zoomScaleNormal="100" workbookViewId="0">
      <selection activeCell="C21" sqref="C21:E22"/>
    </sheetView>
  </sheetViews>
  <sheetFormatPr defaultColWidth="0" defaultRowHeight="14.4" zeroHeight="1" x14ac:dyDescent="0.3"/>
  <cols>
    <col min="1" max="5" width="8.88671875" customWidth="1"/>
    <col min="6" max="6" width="0.88671875" customWidth="1"/>
    <col min="7" max="9" width="8.88671875" customWidth="1"/>
    <col min="10" max="10" width="0.88671875" customWidth="1"/>
    <col min="11" max="26" width="8.88671875" customWidth="1"/>
    <col min="27" max="16384" width="8.88671875" hidden="1"/>
  </cols>
  <sheetData>
    <row r="1" spans="16:24" x14ac:dyDescent="0.3"/>
    <row r="2" spans="16:24" x14ac:dyDescent="0.3"/>
    <row r="3" spans="16:24" x14ac:dyDescent="0.3"/>
    <row r="4" spans="16:24" x14ac:dyDescent="0.3"/>
    <row r="5" spans="16:24" x14ac:dyDescent="0.3"/>
    <row r="6" spans="16:24" x14ac:dyDescent="0.3"/>
    <row r="7" spans="16:24" x14ac:dyDescent="0.3"/>
    <row r="8" spans="16:24" x14ac:dyDescent="0.3"/>
    <row r="9" spans="16:24" x14ac:dyDescent="0.3"/>
    <row r="10" spans="16:24" x14ac:dyDescent="0.3"/>
    <row r="11" spans="16:24" x14ac:dyDescent="0.3"/>
    <row r="12" spans="16:24" x14ac:dyDescent="0.3"/>
    <row r="13" spans="16:24" x14ac:dyDescent="0.3"/>
    <row r="14" spans="16:24" x14ac:dyDescent="0.3">
      <c r="P14" s="89"/>
      <c r="Q14" s="89"/>
      <c r="R14" s="89"/>
      <c r="S14" s="89"/>
      <c r="T14" s="89"/>
      <c r="U14" s="89"/>
      <c r="V14" s="89"/>
      <c r="W14" s="89"/>
      <c r="X14" s="89"/>
    </row>
    <row r="15" spans="16:24" x14ac:dyDescent="0.3">
      <c r="P15" s="89"/>
      <c r="Q15" s="89"/>
      <c r="R15" s="89"/>
      <c r="S15" s="89"/>
      <c r="T15" s="89"/>
      <c r="U15" s="89"/>
      <c r="V15" s="89"/>
      <c r="W15" s="89"/>
      <c r="X15" s="89"/>
    </row>
    <row r="16" spans="16:24" x14ac:dyDescent="0.3"/>
    <row r="17" spans="2:24" x14ac:dyDescent="0.3"/>
    <row r="18" spans="2:24" x14ac:dyDescent="0.3">
      <c r="B18" s="89" t="s">
        <v>3</v>
      </c>
      <c r="C18" s="89"/>
      <c r="D18" s="89"/>
      <c r="E18" s="89"/>
      <c r="F18" s="89"/>
      <c r="G18" s="89"/>
      <c r="H18" s="89"/>
      <c r="I18" s="89"/>
      <c r="J18" s="89"/>
    </row>
    <row r="19" spans="2:24" x14ac:dyDescent="0.3">
      <c r="B19" s="89"/>
      <c r="C19" s="89"/>
      <c r="D19" s="89"/>
      <c r="E19" s="89"/>
      <c r="F19" s="89"/>
      <c r="G19" s="89"/>
      <c r="H19" s="89"/>
      <c r="I19" s="89"/>
      <c r="J19" s="89"/>
    </row>
    <row r="20" spans="2:24" x14ac:dyDescent="0.3"/>
    <row r="21" spans="2:24" ht="14.4" customHeight="1" x14ac:dyDescent="0.3">
      <c r="C21" s="91" t="s">
        <v>4</v>
      </c>
      <c r="D21" s="91"/>
      <c r="E21" s="91"/>
      <c r="G21" s="91" t="s">
        <v>2</v>
      </c>
      <c r="H21" s="91"/>
      <c r="I21" s="91"/>
    </row>
    <row r="22" spans="2:24" ht="14.4" customHeight="1" x14ac:dyDescent="0.3">
      <c r="C22" s="91"/>
      <c r="D22" s="91"/>
      <c r="E22" s="91"/>
      <c r="G22" s="91"/>
      <c r="H22" s="91"/>
      <c r="I22" s="91"/>
    </row>
    <row r="23" spans="2:24" ht="14.4" customHeight="1" x14ac:dyDescent="0.3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2:24" ht="14.4" customHeight="1" x14ac:dyDescent="0.3">
      <c r="B24" s="1"/>
      <c r="C24" s="1"/>
      <c r="D24" s="1"/>
      <c r="E24" s="90" t="s">
        <v>1</v>
      </c>
      <c r="F24" s="90"/>
      <c r="G24" s="90"/>
      <c r="H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24" ht="14.4" customHeight="1" x14ac:dyDescent="0.3">
      <c r="B25" s="1"/>
      <c r="C25" s="1"/>
      <c r="D25" s="1"/>
      <c r="E25" s="90"/>
      <c r="F25" s="90"/>
      <c r="G25" s="90"/>
      <c r="H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2:24" ht="14.4" customHeigh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24" ht="14.4" customHeigh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2:24" ht="14.4" customHeight="1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4" ht="14.4" customHeigh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2:24" ht="14.4" customHeigh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2:24" ht="14.4" customHeigh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2:24" ht="14.4" customHeight="1" x14ac:dyDescent="0.3">
      <c r="B32" s="88" t="s">
        <v>220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spans="2:24" ht="14.4" customHeight="1" x14ac:dyDescent="0.3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</row>
    <row r="34" spans="2:24" ht="14.4" customHeight="1" x14ac:dyDescent="0.3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spans="2:24" ht="14.4" customHeight="1" x14ac:dyDescent="0.3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</row>
    <row r="36" spans="2:24" ht="14.4" customHeight="1" x14ac:dyDescent="0.3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spans="2:24" ht="14.4" customHeight="1" x14ac:dyDescent="0.3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</row>
    <row r="38" spans="2:24" ht="14.4" customHeight="1" x14ac:dyDescent="0.3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2:24" ht="14.4" customHeigh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2:24" ht="14.4" hidden="1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2:24" ht="14.4" hidden="1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2:24" hidden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2:24" hidden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2:24" hidden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9" customFormat="1" hidden="1" x14ac:dyDescent="0.3"/>
    <row r="50" customFormat="1" hidden="1" x14ac:dyDescent="0.3"/>
  </sheetData>
  <sheetProtection algorithmName="SHA-512" hashValue="OIgIeB2JnzSggHOSE69Ihx/frJWGSi1LP8F95PjzoXMdtlw+EkZnBfG6KNyuahEkv/gQCpX2KMVDOVP+FJ2CoQ==" saltValue="0g0Lb+s1RqBgFFhHFbHAtg==" spinCount="100000" sheet="1" objects="1" scenarios="1" selectLockedCells="1"/>
  <mergeCells count="6">
    <mergeCell ref="B32:X38"/>
    <mergeCell ref="B18:J19"/>
    <mergeCell ref="P14:X15"/>
    <mergeCell ref="E24:G25"/>
    <mergeCell ref="G21:I22"/>
    <mergeCell ref="C21:E22"/>
  </mergeCells>
  <hyperlinks>
    <hyperlink ref="E24:G25" location="AJUDA!E10" display="AJUDA" xr:uid="{B360EFBB-E769-4B24-978D-4304C41CD137}"/>
    <hyperlink ref="C21:E22" location="'DIMENSIONADOR - GN'!D7" display="DIMENSIONAR - GN" xr:uid="{F23E7E24-B30D-4B3F-8A04-9D1F1C239D0E}"/>
    <hyperlink ref="G21:I22" location="'DIMENSIONADOR - GLP'!D7" display="DIMENSIONAR - GLP" xr:uid="{4B11B314-1383-4A01-93CC-64940A6B7A4C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2EB6-1B51-453D-AD32-032BB63A6086}">
  <sheetPr codeName="Planilha9">
    <tabColor theme="4"/>
  </sheetPr>
  <dimension ref="B1:AG114"/>
  <sheetViews>
    <sheetView showGridLines="0" zoomScale="80" zoomScaleNormal="80" workbookViewId="0">
      <pane ySplit="4" topLeftCell="A5" activePane="bottomLeft" state="frozen"/>
      <selection pane="bottomLeft" activeCell="D7" sqref="D7"/>
    </sheetView>
  </sheetViews>
  <sheetFormatPr defaultRowHeight="14.4" zeroHeight="1" x14ac:dyDescent="0.3"/>
  <cols>
    <col min="1" max="1" width="2.44140625" customWidth="1"/>
    <col min="2" max="5" width="18.77734375" customWidth="1"/>
    <col min="6" max="6" width="18.77734375" hidden="1" customWidth="1"/>
    <col min="7" max="8" width="18.77734375" customWidth="1"/>
    <col min="9" max="9" width="30.77734375" customWidth="1"/>
    <col min="10" max="12" width="18.77734375" hidden="1" customWidth="1"/>
    <col min="13" max="14" width="18.77734375" customWidth="1"/>
    <col min="15" max="15" width="18.77734375" hidden="1" customWidth="1"/>
    <col min="16" max="17" width="18.77734375" customWidth="1"/>
    <col min="18" max="18" width="21.33203125" hidden="1" customWidth="1"/>
    <col min="19" max="20" width="18.77734375" customWidth="1"/>
    <col min="21" max="21" width="18.77734375" hidden="1" customWidth="1"/>
    <col min="22" max="24" width="18.77734375" customWidth="1"/>
    <col min="25" max="25" width="8.5546875" customWidth="1"/>
    <col min="27" max="27" width="9.109375" customWidth="1"/>
    <col min="29" max="29" width="8.44140625" bestFit="1" customWidth="1"/>
  </cols>
  <sheetData>
    <row r="1" spans="2:31" x14ac:dyDescent="0.3"/>
    <row r="2" spans="2:31" ht="18" customHeight="1" x14ac:dyDescent="0.3">
      <c r="C2" s="93" t="s">
        <v>154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76"/>
      <c r="V2" s="120" t="s">
        <v>0</v>
      </c>
      <c r="W2" s="120" t="s">
        <v>167</v>
      </c>
      <c r="X2" s="120" t="s">
        <v>168</v>
      </c>
    </row>
    <row r="3" spans="2:31" ht="18" customHeight="1" x14ac:dyDescent="0.3">
      <c r="C3" s="93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76"/>
      <c r="V3" s="120"/>
      <c r="W3" s="120"/>
      <c r="X3" s="120"/>
    </row>
    <row r="4" spans="2:31" x14ac:dyDescent="0.3"/>
    <row r="5" spans="2:31" ht="19.95" customHeight="1" x14ac:dyDescent="0.3">
      <c r="B5" s="25" t="s">
        <v>125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2:31" ht="15" customHeight="1" x14ac:dyDescent="0.3"/>
    <row r="7" spans="2:31" ht="15" customHeight="1" x14ac:dyDescent="0.3">
      <c r="B7" s="92" t="s">
        <v>139</v>
      </c>
      <c r="C7" s="92"/>
      <c r="D7" s="112" t="s">
        <v>169</v>
      </c>
    </row>
    <row r="8" spans="2:31" ht="15" customHeight="1" x14ac:dyDescent="0.3"/>
    <row r="9" spans="2:31" ht="15" customHeight="1" x14ac:dyDescent="0.3">
      <c r="B9" s="92" t="s">
        <v>129</v>
      </c>
      <c r="C9" s="92"/>
      <c r="D9" s="27" t="str">
        <f>F9&amp;" KPA"</f>
        <v>10,5 KPA</v>
      </c>
      <c r="F9" s="28">
        <f>$P$13*0.3</f>
        <v>10.5</v>
      </c>
      <c r="H9" s="92" t="s">
        <v>130</v>
      </c>
      <c r="I9" s="92"/>
      <c r="M9" s="29">
        <f>P13-F9</f>
        <v>24.5</v>
      </c>
    </row>
    <row r="10" spans="2:31" ht="15" customHeight="1" x14ac:dyDescent="0.3"/>
    <row r="11" spans="2:31" s="41" customFormat="1" ht="45" customHeight="1" x14ac:dyDescent="0.3">
      <c r="B11" s="10" t="s">
        <v>5</v>
      </c>
      <c r="C11" s="11" t="s">
        <v>47</v>
      </c>
      <c r="D11" s="11" t="s">
        <v>106</v>
      </c>
      <c r="E11" s="12" t="s">
        <v>107</v>
      </c>
      <c r="F11" s="12" t="s">
        <v>108</v>
      </c>
      <c r="G11" s="11" t="s">
        <v>109</v>
      </c>
      <c r="H11" s="11" t="s">
        <v>48</v>
      </c>
      <c r="I11" s="13" t="s">
        <v>49</v>
      </c>
      <c r="J11" s="18" t="s">
        <v>92</v>
      </c>
      <c r="K11" s="18" t="s">
        <v>93</v>
      </c>
      <c r="L11" s="18" t="s">
        <v>94</v>
      </c>
      <c r="M11" s="17" t="s">
        <v>95</v>
      </c>
      <c r="N11" s="17" t="s">
        <v>99</v>
      </c>
      <c r="O11" s="18" t="s">
        <v>100</v>
      </c>
      <c r="P11" s="17" t="s">
        <v>110</v>
      </c>
      <c r="Q11" s="17" t="s">
        <v>156</v>
      </c>
      <c r="R11" s="18" t="s">
        <v>157</v>
      </c>
      <c r="S11" s="17" t="s">
        <v>101</v>
      </c>
      <c r="T11" s="17" t="s">
        <v>111</v>
      </c>
      <c r="U11" s="18" t="s">
        <v>102</v>
      </c>
      <c r="V11" s="17" t="s">
        <v>135</v>
      </c>
      <c r="W11" s="17" t="s">
        <v>104</v>
      </c>
      <c r="X11" s="17" t="s">
        <v>105</v>
      </c>
      <c r="Z11"/>
      <c r="AA11"/>
      <c r="AB11"/>
      <c r="AC11"/>
      <c r="AD11"/>
      <c r="AE11"/>
    </row>
    <row r="12" spans="2:31" hidden="1" x14ac:dyDescent="0.3">
      <c r="B12" s="8"/>
      <c r="C12" s="8"/>
      <c r="D12" s="9">
        <f>D13</f>
        <v>0</v>
      </c>
      <c r="E12" s="21" t="str">
        <f>E13</f>
        <v>100,00</v>
      </c>
      <c r="F12" s="23">
        <f>F13</f>
        <v>0</v>
      </c>
      <c r="G12" s="21">
        <f>G13</f>
        <v>0</v>
      </c>
      <c r="H12" s="21">
        <v>0</v>
      </c>
      <c r="I12" s="4" t="s">
        <v>14</v>
      </c>
      <c r="J12" s="8">
        <f>IF(I12="TEE - Passagem Direta",1.8,IF(I12="União ou Redução",1.8,IF(I12="Conector Macho",1.6,IF(I12="Conector Fêmea",1.6,IF(I12="Conector Fêmea Giratório",1.6,IF(I12="Cotovelo",2.4,IF(I12="TEE - Passagem Angular",2.2,IF(I12="Cotovelo Macho",2.2,IF(I12="Cotovelo Fêmea",2.2,IF(I12="TEE - Entrada Central",3.2,IF(I12="F",3)))))))))))</f>
        <v>2.2000000000000002</v>
      </c>
      <c r="K12" s="21">
        <f>IF(V12&gt;0,0.316*((O12*V12)/(1000*0.0000157))^-0.25,50)</f>
        <v>50</v>
      </c>
      <c r="L12" s="21">
        <f>J12*O12/(1000*K12)</f>
        <v>5.2800000000000004E-4</v>
      </c>
      <c r="M12" s="21">
        <f>SUM(H12+L12)</f>
        <v>5.2800000000000004E-4</v>
      </c>
      <c r="N12" s="8">
        <f>N13</f>
        <v>16</v>
      </c>
      <c r="O12" s="8">
        <f>IF(N12=16,12,IF(N12=20,16,IF(N12=26,20,IF(N12=32,26,IF(N12=40,32,IF(N12=50,41,IF(N12=63,51,"")))))))</f>
        <v>12</v>
      </c>
      <c r="P12" s="21">
        <f>P13</f>
        <v>35</v>
      </c>
      <c r="Q12" s="21">
        <v>0</v>
      </c>
      <c r="R12" s="21"/>
      <c r="S12" s="64">
        <f>IF(P12="-","-",IF(P12&lt;7.6,(2029.06*G12^1.8*0.6^0.8*M12)/O12^4.8,IFERROR(((((((-4.67*10^5*0.6*M12*G12^1.82/O12^4.82)+(P12+101.33)^2)^0.5)-101.33)-P12)*-1),"-")))</f>
        <v>1.4210854715202004E-14</v>
      </c>
      <c r="T12" s="21">
        <f>IFERROR((P12-S12),"-")</f>
        <v>34.999999999999986</v>
      </c>
      <c r="U12" s="21">
        <f t="shared" ref="U12" si="0">(S12 - R12)/M12</f>
        <v>2.6914497566670459E-11</v>
      </c>
      <c r="V12" s="21">
        <f>354*G12/((P12/100+1.033)*O12^2)</f>
        <v>0</v>
      </c>
      <c r="W12" s="8" t="str">
        <f>IF(V12&gt;20,"Recalcular Diâmetro",IF(V12&lt;20,"Velocidade OK"))</f>
        <v>Velocidade OK</v>
      </c>
      <c r="X12" s="21"/>
    </row>
    <row r="13" spans="2:31" ht="15" customHeight="1" x14ac:dyDescent="0.3">
      <c r="B13" s="113" t="s">
        <v>6</v>
      </c>
      <c r="C13" s="113" t="s">
        <v>7</v>
      </c>
      <c r="D13" s="114">
        <v>0</v>
      </c>
      <c r="E13" s="21" t="str">
        <f t="shared" ref="E13:E53" si="1">IF($D$7="NÃO","100,00",IF(D13/60&lt;=350,"100,00",IF(D13/60&lt;=9612,100/(1+0.001*((D13/60)-349)^0.8712),IF(D13/60&lt;=20000,100/(1+0.4705*((D13/60)-1055)^0.19931),"23,00"))))</f>
        <v>100,00</v>
      </c>
      <c r="F13" s="23">
        <f t="shared" ref="F13:F53" si="2">(D13*E13)/100</f>
        <v>0</v>
      </c>
      <c r="G13" s="21">
        <f>(F13/8600)</f>
        <v>0</v>
      </c>
      <c r="H13" s="117">
        <v>0</v>
      </c>
      <c r="I13" s="113"/>
      <c r="J13" s="8" t="b">
        <f>IF(I13="",FALSE,IF(I13="F",3,VLOOKUP(I13,DADOS!$A$4:$B$19,2,0)))</f>
        <v>0</v>
      </c>
      <c r="K13" s="21">
        <f>IF(V13&gt;0,0.316*((O13*V13)/(1000*0.0000157))^-0.25,50)</f>
        <v>50</v>
      </c>
      <c r="L13" s="21">
        <f>J13*O13/(1000*K13)</f>
        <v>0</v>
      </c>
      <c r="M13" s="21">
        <f t="shared" ref="M13:M38" si="3">SUM(H13+L13)</f>
        <v>0</v>
      </c>
      <c r="N13" s="113">
        <v>16</v>
      </c>
      <c r="O13" s="8">
        <f>IF(N13=16,12,IF(N13=20,16,IF(N13=26,20,IF(N13=32,26,IF(N13=40,32,IF(N13=50,41,IF(N13=63,51,"")))))))</f>
        <v>12</v>
      </c>
      <c r="P13" s="119">
        <v>35</v>
      </c>
      <c r="Q13" s="117">
        <v>0</v>
      </c>
      <c r="R13" s="21">
        <f>-1.318*10^-2*Q13*(0.6-1)</f>
        <v>0</v>
      </c>
      <c r="S13" s="64">
        <f>IF(P13="-","-",IF(P13&lt;7.6,(2029.06*G13^1.8*0.6^0.8*M13)/O13^4.8+S12-R13,IFERROR(((((((-4.67*10^5*0.6*M13*G13^1.82/O13^4.82)+(T12+101.33)^2)^0.5)-101.33)-P13+R13-S12)*-1),"-")))</f>
        <v>2.8421709430404007E-14</v>
      </c>
      <c r="T13" s="21">
        <f t="shared" ref="T13:T53" si="4">IFERROR((P13-S13),"-")</f>
        <v>34.999999999999972</v>
      </c>
      <c r="U13" s="21" t="str">
        <f>IFERROR((S13 - R13)/M13,"-")</f>
        <v>-</v>
      </c>
      <c r="V13" s="21">
        <f>354*G13/O13^2</f>
        <v>0</v>
      </c>
      <c r="W13" s="39" t="str">
        <f>IF(V13&gt;20,"Recalcular Diâmetro",IF(V13&lt;20,"Velocidade OK"))</f>
        <v>Velocidade OK</v>
      </c>
      <c r="X13" s="38" t="str">
        <f t="shared" ref="X13:X53" si="5">IF(C13&lt;1000,T13,"-")</f>
        <v>-</v>
      </c>
    </row>
    <row r="14" spans="2:31" ht="15" customHeight="1" x14ac:dyDescent="0.3">
      <c r="B14" s="113" t="s">
        <v>7</v>
      </c>
      <c r="C14" s="113" t="s">
        <v>21</v>
      </c>
      <c r="D14" s="114">
        <v>0</v>
      </c>
      <c r="E14" s="21" t="str">
        <f t="shared" si="1"/>
        <v>100,00</v>
      </c>
      <c r="F14" s="23">
        <f t="shared" si="2"/>
        <v>0</v>
      </c>
      <c r="G14" s="21">
        <f t="shared" ref="G14:G53" si="6">(F14/8600)</f>
        <v>0</v>
      </c>
      <c r="H14" s="117">
        <v>0</v>
      </c>
      <c r="I14" s="113"/>
      <c r="J14" s="8" t="b">
        <f>IF(I14="",FALSE,IF(I14="F",3,VLOOKUP(I14,DADOS!$A$4:$B$19,2,0)))</f>
        <v>0</v>
      </c>
      <c r="K14" s="21">
        <f t="shared" ref="K14:K53" si="7">IF(V14&gt;0,0.316*((O14*V14)/(1000*0.0000157))^-0.25,50)</f>
        <v>50</v>
      </c>
      <c r="L14" s="21">
        <f t="shared" ref="L14:L53" si="8">J14*O14/(1000*K14)</f>
        <v>0</v>
      </c>
      <c r="M14" s="21">
        <f t="shared" si="3"/>
        <v>0</v>
      </c>
      <c r="N14" s="113">
        <v>16</v>
      </c>
      <c r="O14" s="8">
        <f t="shared" ref="O14:O53" si="9">IF(N14=16,12,IF(N14=20,16,IF(N14=26,20,IF(N14=32,26,IF(N14=40,32,IF(N14=50,41,IF(N14=63,51,"")))))))</f>
        <v>12</v>
      </c>
      <c r="P14" s="21">
        <f>IFERROR(VLOOKUP(B14,$C$13:$W$53,18,FALSE),"-")</f>
        <v>34.999999999999972</v>
      </c>
      <c r="Q14" s="117">
        <v>0</v>
      </c>
      <c r="R14" s="21">
        <f t="shared" ref="R14:R53" si="10">-1.318*10^-2*Q14*(0.6-1)</f>
        <v>0</v>
      </c>
      <c r="S14" s="64">
        <f>IF(P14="-","-",IF(P14&lt;7.6,(2029.06*G14^1.8*0.6^0.8*M14)/O14^4.8-R14,IFERROR(((((((-4.67*10^5*0.6*M14*G14^1.82/O14^4.82)+(P14+101.33)^2)^0.5)-101.33)+R14-P14)*-1),"-")))</f>
        <v>-1.4210854715202004E-14</v>
      </c>
      <c r="T14" s="21">
        <f t="shared" si="4"/>
        <v>34.999999999999986</v>
      </c>
      <c r="U14" s="21" t="str">
        <f t="shared" ref="U14:U53" si="11">IFERROR((S14 - R14)/M14,"-")</f>
        <v>-</v>
      </c>
      <c r="V14" s="21">
        <f t="shared" ref="V14:V53" si="12">354*G14/O14^2</f>
        <v>0</v>
      </c>
      <c r="W14" s="39" t="str">
        <f t="shared" ref="W14:W53" si="13">IF(V14&gt;20,"Recalcular Diâmetro",IF(V14&lt;20,"Velocidade OK"))</f>
        <v>Velocidade OK</v>
      </c>
      <c r="X14" s="21" t="str">
        <f t="shared" si="5"/>
        <v>-</v>
      </c>
    </row>
    <row r="15" spans="2:31" ht="15" customHeight="1" x14ac:dyDescent="0.3">
      <c r="B15" s="113" t="s">
        <v>21</v>
      </c>
      <c r="C15" s="113" t="s">
        <v>22</v>
      </c>
      <c r="D15" s="114">
        <v>0</v>
      </c>
      <c r="E15" s="21" t="str">
        <f t="shared" si="1"/>
        <v>100,00</v>
      </c>
      <c r="F15" s="23">
        <f t="shared" si="2"/>
        <v>0</v>
      </c>
      <c r="G15" s="21">
        <f t="shared" si="6"/>
        <v>0</v>
      </c>
      <c r="H15" s="117">
        <v>0</v>
      </c>
      <c r="I15" s="113"/>
      <c r="J15" s="8" t="b">
        <f>IF(I15="",FALSE,IF(I15="F",3,VLOOKUP(I15,DADOS!$A$4:$B$19,2,0)))</f>
        <v>0</v>
      </c>
      <c r="K15" s="21">
        <f t="shared" si="7"/>
        <v>50</v>
      </c>
      <c r="L15" s="21">
        <f t="shared" si="8"/>
        <v>0</v>
      </c>
      <c r="M15" s="21">
        <f t="shared" si="3"/>
        <v>0</v>
      </c>
      <c r="N15" s="113">
        <v>16</v>
      </c>
      <c r="O15" s="8">
        <f t="shared" si="9"/>
        <v>12</v>
      </c>
      <c r="P15" s="21">
        <f t="shared" ref="P15:P53" si="14">IFERROR(VLOOKUP(B15,$C$13:$W$53,18,FALSE),"-")</f>
        <v>34.999999999999986</v>
      </c>
      <c r="Q15" s="117">
        <v>0</v>
      </c>
      <c r="R15" s="21">
        <f t="shared" si="10"/>
        <v>0</v>
      </c>
      <c r="S15" s="64">
        <f t="shared" ref="S15:S53" si="15">IF(P15="-","-",IF(P15&lt;7.6,(2029.06*G15^1.8*0.6^0.8*M15)/O15^4.8-R15,IFERROR(((((((-4.67*10^5*0.6*M15*G15^1.82/O15^4.82)+(P15+101.33)^2)^0.5)-101.33)+R15-P15)*-1),"-")))</f>
        <v>0</v>
      </c>
      <c r="T15" s="21">
        <f t="shared" si="4"/>
        <v>34.999999999999986</v>
      </c>
      <c r="U15" s="21" t="str">
        <f t="shared" si="11"/>
        <v>-</v>
      </c>
      <c r="V15" s="21">
        <f t="shared" si="12"/>
        <v>0</v>
      </c>
      <c r="W15" s="39" t="str">
        <f t="shared" si="13"/>
        <v>Velocidade OK</v>
      </c>
      <c r="X15" s="21" t="str">
        <f t="shared" si="5"/>
        <v>-</v>
      </c>
    </row>
    <row r="16" spans="2:31" ht="15" customHeight="1" x14ac:dyDescent="0.3">
      <c r="B16" s="113" t="s">
        <v>22</v>
      </c>
      <c r="C16" s="113" t="s">
        <v>23</v>
      </c>
      <c r="D16" s="114">
        <v>0</v>
      </c>
      <c r="E16" s="21" t="str">
        <f t="shared" si="1"/>
        <v>100,00</v>
      </c>
      <c r="F16" s="23">
        <f t="shared" si="2"/>
        <v>0</v>
      </c>
      <c r="G16" s="21">
        <f t="shared" si="6"/>
        <v>0</v>
      </c>
      <c r="H16" s="117">
        <v>0</v>
      </c>
      <c r="I16" s="113"/>
      <c r="J16" s="8" t="b">
        <f>IF(I16="",FALSE,IF(I16="F",3,VLOOKUP(I16,DADOS!$A$4:$B$19,2,0)))</f>
        <v>0</v>
      </c>
      <c r="K16" s="21">
        <f t="shared" si="7"/>
        <v>50</v>
      </c>
      <c r="L16" s="21">
        <f t="shared" si="8"/>
        <v>0</v>
      </c>
      <c r="M16" s="21">
        <f t="shared" si="3"/>
        <v>0</v>
      </c>
      <c r="N16" s="113">
        <v>16</v>
      </c>
      <c r="O16" s="8">
        <f t="shared" si="9"/>
        <v>12</v>
      </c>
      <c r="P16" s="21">
        <f t="shared" si="14"/>
        <v>34.999999999999986</v>
      </c>
      <c r="Q16" s="117">
        <v>0</v>
      </c>
      <c r="R16" s="21">
        <f t="shared" si="10"/>
        <v>0</v>
      </c>
      <c r="S16" s="64">
        <f t="shared" si="15"/>
        <v>0</v>
      </c>
      <c r="T16" s="21">
        <f t="shared" si="4"/>
        <v>34.999999999999986</v>
      </c>
      <c r="U16" s="21" t="str">
        <f t="shared" si="11"/>
        <v>-</v>
      </c>
      <c r="V16" s="21">
        <f t="shared" si="12"/>
        <v>0</v>
      </c>
      <c r="W16" s="39" t="str">
        <f t="shared" si="13"/>
        <v>Velocidade OK</v>
      </c>
      <c r="X16" s="21" t="str">
        <f t="shared" si="5"/>
        <v>-</v>
      </c>
    </row>
    <row r="17" spans="2:33" ht="15" customHeight="1" x14ac:dyDescent="0.3">
      <c r="B17" s="113" t="s">
        <v>23</v>
      </c>
      <c r="C17" s="113" t="s">
        <v>24</v>
      </c>
      <c r="D17" s="114">
        <v>0</v>
      </c>
      <c r="E17" s="21" t="str">
        <f t="shared" si="1"/>
        <v>100,00</v>
      </c>
      <c r="F17" s="23">
        <f t="shared" si="2"/>
        <v>0</v>
      </c>
      <c r="G17" s="21">
        <f t="shared" si="6"/>
        <v>0</v>
      </c>
      <c r="H17" s="117">
        <v>0</v>
      </c>
      <c r="I17" s="113"/>
      <c r="J17" s="8" t="b">
        <f>IF(I17="",FALSE,IF(I17="F",3,VLOOKUP(I17,DADOS!$A$4:$B$19,2,0)))</f>
        <v>0</v>
      </c>
      <c r="K17" s="21">
        <f t="shared" si="7"/>
        <v>50</v>
      </c>
      <c r="L17" s="21">
        <f t="shared" si="8"/>
        <v>0</v>
      </c>
      <c r="M17" s="21">
        <f t="shared" si="3"/>
        <v>0</v>
      </c>
      <c r="N17" s="113">
        <v>16</v>
      </c>
      <c r="O17" s="8">
        <f t="shared" si="9"/>
        <v>12</v>
      </c>
      <c r="P17" s="21">
        <f t="shared" si="14"/>
        <v>34.999999999999986</v>
      </c>
      <c r="Q17" s="117">
        <v>0</v>
      </c>
      <c r="R17" s="21">
        <f t="shared" si="10"/>
        <v>0</v>
      </c>
      <c r="S17" s="64">
        <f t="shared" si="15"/>
        <v>0</v>
      </c>
      <c r="T17" s="21">
        <f t="shared" si="4"/>
        <v>34.999999999999986</v>
      </c>
      <c r="U17" s="21" t="str">
        <f t="shared" si="11"/>
        <v>-</v>
      </c>
      <c r="V17" s="21">
        <f t="shared" si="12"/>
        <v>0</v>
      </c>
      <c r="W17" s="39" t="str">
        <f t="shared" si="13"/>
        <v>Velocidade OK</v>
      </c>
      <c r="X17" s="21" t="str">
        <f t="shared" si="5"/>
        <v>-</v>
      </c>
    </row>
    <row r="18" spans="2:33" ht="15" customHeight="1" x14ac:dyDescent="0.3">
      <c r="B18" s="113" t="s">
        <v>24</v>
      </c>
      <c r="C18" s="113" t="s">
        <v>25</v>
      </c>
      <c r="D18" s="114">
        <v>0</v>
      </c>
      <c r="E18" s="21" t="str">
        <f t="shared" si="1"/>
        <v>100,00</v>
      </c>
      <c r="F18" s="23">
        <f t="shared" si="2"/>
        <v>0</v>
      </c>
      <c r="G18" s="21">
        <f t="shared" si="6"/>
        <v>0</v>
      </c>
      <c r="H18" s="117">
        <v>0</v>
      </c>
      <c r="I18" s="113"/>
      <c r="J18" s="8" t="b">
        <f>IF(I18="",FALSE,IF(I18="F",3,VLOOKUP(I18,DADOS!$A$4:$B$19,2,0)))</f>
        <v>0</v>
      </c>
      <c r="K18" s="21">
        <f t="shared" si="7"/>
        <v>50</v>
      </c>
      <c r="L18" s="21">
        <f t="shared" si="8"/>
        <v>0</v>
      </c>
      <c r="M18" s="21">
        <f t="shared" si="3"/>
        <v>0</v>
      </c>
      <c r="N18" s="113">
        <v>16</v>
      </c>
      <c r="O18" s="8">
        <f t="shared" si="9"/>
        <v>12</v>
      </c>
      <c r="P18" s="21">
        <f t="shared" si="14"/>
        <v>34.999999999999986</v>
      </c>
      <c r="Q18" s="117">
        <v>0</v>
      </c>
      <c r="R18" s="21">
        <f t="shared" si="10"/>
        <v>0</v>
      </c>
      <c r="S18" s="64">
        <f t="shared" si="15"/>
        <v>0</v>
      </c>
      <c r="T18" s="21">
        <f t="shared" si="4"/>
        <v>34.999999999999986</v>
      </c>
      <c r="U18" s="21" t="str">
        <f t="shared" si="11"/>
        <v>-</v>
      </c>
      <c r="V18" s="21">
        <f t="shared" si="12"/>
        <v>0</v>
      </c>
      <c r="W18" s="39" t="str">
        <f t="shared" si="13"/>
        <v>Velocidade OK</v>
      </c>
      <c r="X18" s="21" t="str">
        <f t="shared" si="5"/>
        <v>-</v>
      </c>
    </row>
    <row r="19" spans="2:33" ht="15" customHeight="1" x14ac:dyDescent="0.3">
      <c r="B19" s="113" t="s">
        <v>25</v>
      </c>
      <c r="C19" s="113" t="s">
        <v>26</v>
      </c>
      <c r="D19" s="114">
        <v>0</v>
      </c>
      <c r="E19" s="21" t="str">
        <f t="shared" si="1"/>
        <v>100,00</v>
      </c>
      <c r="F19" s="23">
        <f t="shared" si="2"/>
        <v>0</v>
      </c>
      <c r="G19" s="21">
        <f t="shared" si="6"/>
        <v>0</v>
      </c>
      <c r="H19" s="117">
        <v>0</v>
      </c>
      <c r="I19" s="113"/>
      <c r="J19" s="8" t="b">
        <f>IF(I19="",FALSE,IF(I19="F",3,VLOOKUP(I19,DADOS!$A$4:$B$19,2,0)))</f>
        <v>0</v>
      </c>
      <c r="K19" s="21">
        <f t="shared" si="7"/>
        <v>50</v>
      </c>
      <c r="L19" s="21">
        <f t="shared" si="8"/>
        <v>0</v>
      </c>
      <c r="M19" s="21">
        <f t="shared" si="3"/>
        <v>0</v>
      </c>
      <c r="N19" s="113">
        <v>16</v>
      </c>
      <c r="O19" s="8">
        <f t="shared" si="9"/>
        <v>12</v>
      </c>
      <c r="P19" s="21">
        <f t="shared" si="14"/>
        <v>34.999999999999986</v>
      </c>
      <c r="Q19" s="117">
        <v>0</v>
      </c>
      <c r="R19" s="21">
        <f t="shared" si="10"/>
        <v>0</v>
      </c>
      <c r="S19" s="64">
        <f t="shared" si="15"/>
        <v>0</v>
      </c>
      <c r="T19" s="21">
        <f t="shared" si="4"/>
        <v>34.999999999999986</v>
      </c>
      <c r="U19" s="21" t="str">
        <f t="shared" si="11"/>
        <v>-</v>
      </c>
      <c r="V19" s="21">
        <f t="shared" si="12"/>
        <v>0</v>
      </c>
      <c r="W19" s="39" t="str">
        <f t="shared" si="13"/>
        <v>Velocidade OK</v>
      </c>
      <c r="X19" s="21" t="str">
        <f t="shared" si="5"/>
        <v>-</v>
      </c>
    </row>
    <row r="20" spans="2:33" ht="15" customHeight="1" x14ac:dyDescent="0.3">
      <c r="B20" s="113" t="s">
        <v>26</v>
      </c>
      <c r="C20" s="113" t="s">
        <v>27</v>
      </c>
      <c r="D20" s="114">
        <v>0</v>
      </c>
      <c r="E20" s="21" t="str">
        <f t="shared" si="1"/>
        <v>100,00</v>
      </c>
      <c r="F20" s="23">
        <f t="shared" si="2"/>
        <v>0</v>
      </c>
      <c r="G20" s="21">
        <f t="shared" si="6"/>
        <v>0</v>
      </c>
      <c r="H20" s="117">
        <v>0</v>
      </c>
      <c r="I20" s="113"/>
      <c r="J20" s="8" t="b">
        <f>IF(I20="",FALSE,IF(I20="F",3,VLOOKUP(I20,DADOS!$A$4:$B$19,2,0)))</f>
        <v>0</v>
      </c>
      <c r="K20" s="21">
        <f t="shared" si="7"/>
        <v>50</v>
      </c>
      <c r="L20" s="21">
        <f t="shared" si="8"/>
        <v>0</v>
      </c>
      <c r="M20" s="21">
        <f t="shared" si="3"/>
        <v>0</v>
      </c>
      <c r="N20" s="113">
        <v>16</v>
      </c>
      <c r="O20" s="8">
        <f t="shared" si="9"/>
        <v>12</v>
      </c>
      <c r="P20" s="21">
        <f t="shared" si="14"/>
        <v>34.999999999999986</v>
      </c>
      <c r="Q20" s="117">
        <v>0</v>
      </c>
      <c r="R20" s="21">
        <f t="shared" si="10"/>
        <v>0</v>
      </c>
      <c r="S20" s="64">
        <f t="shared" si="15"/>
        <v>0</v>
      </c>
      <c r="T20" s="21">
        <f t="shared" si="4"/>
        <v>34.999999999999986</v>
      </c>
      <c r="U20" s="21" t="str">
        <f t="shared" si="11"/>
        <v>-</v>
      </c>
      <c r="V20" s="21">
        <f t="shared" si="12"/>
        <v>0</v>
      </c>
      <c r="W20" s="39" t="str">
        <f t="shared" si="13"/>
        <v>Velocidade OK</v>
      </c>
      <c r="X20" s="21" t="str">
        <f t="shared" si="5"/>
        <v>-</v>
      </c>
    </row>
    <row r="21" spans="2:33" ht="15" customHeight="1" x14ac:dyDescent="0.3">
      <c r="B21" s="113" t="s">
        <v>27</v>
      </c>
      <c r="C21" s="113" t="s">
        <v>28</v>
      </c>
      <c r="D21" s="114">
        <v>0</v>
      </c>
      <c r="E21" s="21" t="str">
        <f t="shared" si="1"/>
        <v>100,00</v>
      </c>
      <c r="F21" s="23">
        <f t="shared" si="2"/>
        <v>0</v>
      </c>
      <c r="G21" s="21">
        <f t="shared" si="6"/>
        <v>0</v>
      </c>
      <c r="H21" s="117">
        <v>0</v>
      </c>
      <c r="I21" s="113"/>
      <c r="J21" s="8" t="b">
        <f>IF(I21="",FALSE,IF(I21="F",3,VLOOKUP(I21,DADOS!$A$4:$B$19,2,0)))</f>
        <v>0</v>
      </c>
      <c r="K21" s="21">
        <f t="shared" si="7"/>
        <v>50</v>
      </c>
      <c r="L21" s="21">
        <f t="shared" si="8"/>
        <v>0</v>
      </c>
      <c r="M21" s="21">
        <f t="shared" si="3"/>
        <v>0</v>
      </c>
      <c r="N21" s="113">
        <v>16</v>
      </c>
      <c r="O21" s="8">
        <f t="shared" si="9"/>
        <v>12</v>
      </c>
      <c r="P21" s="21">
        <f t="shared" si="14"/>
        <v>34.999999999999986</v>
      </c>
      <c r="Q21" s="117">
        <v>0</v>
      </c>
      <c r="R21" s="21">
        <f t="shared" si="10"/>
        <v>0</v>
      </c>
      <c r="S21" s="64">
        <f t="shared" si="15"/>
        <v>0</v>
      </c>
      <c r="T21" s="21">
        <f t="shared" si="4"/>
        <v>34.999999999999986</v>
      </c>
      <c r="U21" s="21" t="str">
        <f t="shared" si="11"/>
        <v>-</v>
      </c>
      <c r="V21" s="21">
        <f t="shared" si="12"/>
        <v>0</v>
      </c>
      <c r="W21" s="39" t="str">
        <f t="shared" si="13"/>
        <v>Velocidade OK</v>
      </c>
      <c r="X21" s="21" t="str">
        <f t="shared" si="5"/>
        <v>-</v>
      </c>
    </row>
    <row r="22" spans="2:33" ht="15" customHeight="1" x14ac:dyDescent="0.3">
      <c r="B22" s="113" t="s">
        <v>28</v>
      </c>
      <c r="C22" s="113" t="s">
        <v>29</v>
      </c>
      <c r="D22" s="114">
        <v>0</v>
      </c>
      <c r="E22" s="21" t="str">
        <f t="shared" si="1"/>
        <v>100,00</v>
      </c>
      <c r="F22" s="23">
        <f t="shared" si="2"/>
        <v>0</v>
      </c>
      <c r="G22" s="21">
        <f t="shared" si="6"/>
        <v>0</v>
      </c>
      <c r="H22" s="117">
        <v>0</v>
      </c>
      <c r="I22" s="113"/>
      <c r="J22" s="8" t="b">
        <f>IF(I22="",FALSE,IF(I22="F",3,VLOOKUP(I22,DADOS!$A$4:$B$19,2,0)))</f>
        <v>0</v>
      </c>
      <c r="K22" s="21">
        <f t="shared" si="7"/>
        <v>50</v>
      </c>
      <c r="L22" s="21">
        <f t="shared" si="8"/>
        <v>0</v>
      </c>
      <c r="M22" s="21">
        <f t="shared" si="3"/>
        <v>0</v>
      </c>
      <c r="N22" s="113">
        <v>16</v>
      </c>
      <c r="O22" s="8">
        <f t="shared" si="9"/>
        <v>12</v>
      </c>
      <c r="P22" s="21">
        <f t="shared" si="14"/>
        <v>34.999999999999986</v>
      </c>
      <c r="Q22" s="117">
        <v>0</v>
      </c>
      <c r="R22" s="21">
        <f t="shared" si="10"/>
        <v>0</v>
      </c>
      <c r="S22" s="64">
        <f t="shared" si="15"/>
        <v>0</v>
      </c>
      <c r="T22" s="21">
        <f t="shared" si="4"/>
        <v>34.999999999999986</v>
      </c>
      <c r="U22" s="21" t="str">
        <f t="shared" si="11"/>
        <v>-</v>
      </c>
      <c r="V22" s="21">
        <f t="shared" si="12"/>
        <v>0</v>
      </c>
      <c r="W22" s="39" t="str">
        <f t="shared" si="13"/>
        <v>Velocidade OK</v>
      </c>
      <c r="X22" s="21" t="str">
        <f t="shared" si="5"/>
        <v>-</v>
      </c>
    </row>
    <row r="23" spans="2:33" ht="15" customHeight="1" x14ac:dyDescent="0.3">
      <c r="B23" s="113" t="s">
        <v>29</v>
      </c>
      <c r="C23" s="113" t="s">
        <v>30</v>
      </c>
      <c r="D23" s="114">
        <v>0</v>
      </c>
      <c r="E23" s="21" t="str">
        <f t="shared" si="1"/>
        <v>100,00</v>
      </c>
      <c r="F23" s="23">
        <f t="shared" si="2"/>
        <v>0</v>
      </c>
      <c r="G23" s="21">
        <f t="shared" si="6"/>
        <v>0</v>
      </c>
      <c r="H23" s="117">
        <v>0</v>
      </c>
      <c r="I23" s="113"/>
      <c r="J23" s="8" t="b">
        <f>IF(I23="",FALSE,IF(I23="F",3,VLOOKUP(I23,DADOS!$A$4:$B$19,2,0)))</f>
        <v>0</v>
      </c>
      <c r="K23" s="21">
        <f t="shared" si="7"/>
        <v>50</v>
      </c>
      <c r="L23" s="21">
        <f t="shared" si="8"/>
        <v>0</v>
      </c>
      <c r="M23" s="21">
        <f t="shared" si="3"/>
        <v>0</v>
      </c>
      <c r="N23" s="113">
        <v>16</v>
      </c>
      <c r="O23" s="8">
        <f t="shared" si="9"/>
        <v>12</v>
      </c>
      <c r="P23" s="21">
        <f t="shared" si="14"/>
        <v>34.999999999999986</v>
      </c>
      <c r="Q23" s="117">
        <v>0</v>
      </c>
      <c r="R23" s="21">
        <f t="shared" si="10"/>
        <v>0</v>
      </c>
      <c r="S23" s="64">
        <f t="shared" si="15"/>
        <v>0</v>
      </c>
      <c r="T23" s="21">
        <f t="shared" si="4"/>
        <v>34.999999999999986</v>
      </c>
      <c r="U23" s="21" t="str">
        <f t="shared" si="11"/>
        <v>-</v>
      </c>
      <c r="V23" s="21">
        <f t="shared" si="12"/>
        <v>0</v>
      </c>
      <c r="W23" s="39" t="str">
        <f t="shared" si="13"/>
        <v>Velocidade OK</v>
      </c>
      <c r="X23" s="21" t="str">
        <f t="shared" si="5"/>
        <v>-</v>
      </c>
    </row>
    <row r="24" spans="2:33" ht="15" customHeight="1" x14ac:dyDescent="0.3">
      <c r="B24" s="113" t="s">
        <v>30</v>
      </c>
      <c r="C24" s="113" t="s">
        <v>31</v>
      </c>
      <c r="D24" s="114">
        <v>0</v>
      </c>
      <c r="E24" s="21" t="str">
        <f t="shared" si="1"/>
        <v>100,00</v>
      </c>
      <c r="F24" s="23">
        <f t="shared" si="2"/>
        <v>0</v>
      </c>
      <c r="G24" s="21">
        <f t="shared" si="6"/>
        <v>0</v>
      </c>
      <c r="H24" s="117">
        <v>0</v>
      </c>
      <c r="I24" s="113"/>
      <c r="J24" s="8" t="b">
        <f>IF(I24="",FALSE,IF(I24="F",3,VLOOKUP(I24,DADOS!$A$4:$B$19,2,0)))</f>
        <v>0</v>
      </c>
      <c r="K24" s="21">
        <f t="shared" si="7"/>
        <v>50</v>
      </c>
      <c r="L24" s="21">
        <f t="shared" si="8"/>
        <v>0</v>
      </c>
      <c r="M24" s="21">
        <f t="shared" si="3"/>
        <v>0</v>
      </c>
      <c r="N24" s="113">
        <v>16</v>
      </c>
      <c r="O24" s="8">
        <f t="shared" si="9"/>
        <v>12</v>
      </c>
      <c r="P24" s="21">
        <f t="shared" si="14"/>
        <v>34.999999999999986</v>
      </c>
      <c r="Q24" s="117">
        <v>0</v>
      </c>
      <c r="R24" s="21">
        <f t="shared" si="10"/>
        <v>0</v>
      </c>
      <c r="S24" s="64">
        <f t="shared" si="15"/>
        <v>0</v>
      </c>
      <c r="T24" s="21">
        <f t="shared" si="4"/>
        <v>34.999999999999986</v>
      </c>
      <c r="U24" s="21" t="str">
        <f t="shared" si="11"/>
        <v>-</v>
      </c>
      <c r="V24" s="21">
        <f t="shared" si="12"/>
        <v>0</v>
      </c>
      <c r="W24" s="39" t="str">
        <f t="shared" si="13"/>
        <v>Velocidade OK</v>
      </c>
      <c r="X24" s="21" t="str">
        <f t="shared" si="5"/>
        <v>-</v>
      </c>
    </row>
    <row r="25" spans="2:33" ht="15" customHeight="1" x14ac:dyDescent="0.3">
      <c r="B25" s="113" t="s">
        <v>31</v>
      </c>
      <c r="C25" s="113" t="s">
        <v>32</v>
      </c>
      <c r="D25" s="114">
        <v>0</v>
      </c>
      <c r="E25" s="21" t="str">
        <f t="shared" si="1"/>
        <v>100,00</v>
      </c>
      <c r="F25" s="23">
        <f t="shared" si="2"/>
        <v>0</v>
      </c>
      <c r="G25" s="21">
        <f t="shared" si="6"/>
        <v>0</v>
      </c>
      <c r="H25" s="117">
        <v>0</v>
      </c>
      <c r="I25" s="113"/>
      <c r="J25" s="8" t="b">
        <f>IF(I25="",FALSE,IF(I25="F",3,VLOOKUP(I25,DADOS!$A$4:$B$19,2,0)))</f>
        <v>0</v>
      </c>
      <c r="K25" s="21">
        <f t="shared" si="7"/>
        <v>50</v>
      </c>
      <c r="L25" s="21">
        <f t="shared" si="8"/>
        <v>0</v>
      </c>
      <c r="M25" s="21">
        <f t="shared" si="3"/>
        <v>0</v>
      </c>
      <c r="N25" s="113">
        <v>16</v>
      </c>
      <c r="O25" s="8">
        <f t="shared" si="9"/>
        <v>12</v>
      </c>
      <c r="P25" s="21">
        <f t="shared" si="14"/>
        <v>34.999999999999986</v>
      </c>
      <c r="Q25" s="117">
        <v>0</v>
      </c>
      <c r="R25" s="21">
        <f t="shared" si="10"/>
        <v>0</v>
      </c>
      <c r="S25" s="64">
        <f t="shared" si="15"/>
        <v>0</v>
      </c>
      <c r="T25" s="21">
        <f t="shared" si="4"/>
        <v>34.999999999999986</v>
      </c>
      <c r="U25" s="21" t="str">
        <f t="shared" si="11"/>
        <v>-</v>
      </c>
      <c r="V25" s="21">
        <f t="shared" si="12"/>
        <v>0</v>
      </c>
      <c r="W25" s="39" t="str">
        <f t="shared" si="13"/>
        <v>Velocidade OK</v>
      </c>
      <c r="X25" s="21" t="str">
        <f t="shared" si="5"/>
        <v>-</v>
      </c>
    </row>
    <row r="26" spans="2:33" ht="15" customHeight="1" x14ac:dyDescent="0.3">
      <c r="B26" s="113" t="s">
        <v>32</v>
      </c>
      <c r="C26" s="113" t="s">
        <v>33</v>
      </c>
      <c r="D26" s="114">
        <v>0</v>
      </c>
      <c r="E26" s="21" t="str">
        <f t="shared" si="1"/>
        <v>100,00</v>
      </c>
      <c r="F26" s="23">
        <f t="shared" si="2"/>
        <v>0</v>
      </c>
      <c r="G26" s="21">
        <f t="shared" si="6"/>
        <v>0</v>
      </c>
      <c r="H26" s="117">
        <v>0</v>
      </c>
      <c r="I26" s="113"/>
      <c r="J26" s="8" t="b">
        <f>IF(I26="",FALSE,IF(I26="F",3,VLOOKUP(I26,DADOS!$A$4:$B$19,2,0)))</f>
        <v>0</v>
      </c>
      <c r="K26" s="21">
        <f t="shared" si="7"/>
        <v>50</v>
      </c>
      <c r="L26" s="21">
        <f t="shared" si="8"/>
        <v>0</v>
      </c>
      <c r="M26" s="21">
        <f t="shared" si="3"/>
        <v>0</v>
      </c>
      <c r="N26" s="113">
        <v>16</v>
      </c>
      <c r="O26" s="8">
        <f t="shared" si="9"/>
        <v>12</v>
      </c>
      <c r="P26" s="21">
        <f t="shared" si="14"/>
        <v>34.999999999999986</v>
      </c>
      <c r="Q26" s="117">
        <v>0</v>
      </c>
      <c r="R26" s="21">
        <f t="shared" si="10"/>
        <v>0</v>
      </c>
      <c r="S26" s="64">
        <f t="shared" si="15"/>
        <v>0</v>
      </c>
      <c r="T26" s="21">
        <f t="shared" si="4"/>
        <v>34.999999999999986</v>
      </c>
      <c r="U26" s="21" t="str">
        <f t="shared" si="11"/>
        <v>-</v>
      </c>
      <c r="V26" s="21">
        <f t="shared" si="12"/>
        <v>0</v>
      </c>
      <c r="W26" s="39" t="str">
        <f t="shared" si="13"/>
        <v>Velocidade OK</v>
      </c>
      <c r="X26" s="21" t="str">
        <f t="shared" si="5"/>
        <v>-</v>
      </c>
    </row>
    <row r="27" spans="2:33" ht="15" customHeight="1" x14ac:dyDescent="0.3">
      <c r="B27" s="113" t="s">
        <v>33</v>
      </c>
      <c r="C27" s="113" t="s">
        <v>34</v>
      </c>
      <c r="D27" s="114">
        <v>0</v>
      </c>
      <c r="E27" s="21" t="str">
        <f t="shared" si="1"/>
        <v>100,00</v>
      </c>
      <c r="F27" s="23">
        <f t="shared" si="2"/>
        <v>0</v>
      </c>
      <c r="G27" s="21">
        <f t="shared" si="6"/>
        <v>0</v>
      </c>
      <c r="H27" s="117">
        <v>0</v>
      </c>
      <c r="I27" s="113"/>
      <c r="J27" s="8" t="b">
        <f>IF(I27="",FALSE,IF(I27="F",3,VLOOKUP(I27,DADOS!$A$4:$B$19,2,0)))</f>
        <v>0</v>
      </c>
      <c r="K27" s="21">
        <f t="shared" si="7"/>
        <v>50</v>
      </c>
      <c r="L27" s="21">
        <f t="shared" si="8"/>
        <v>0</v>
      </c>
      <c r="M27" s="21">
        <f t="shared" si="3"/>
        <v>0</v>
      </c>
      <c r="N27" s="113">
        <v>16</v>
      </c>
      <c r="O27" s="8">
        <f t="shared" si="9"/>
        <v>12</v>
      </c>
      <c r="P27" s="21">
        <f t="shared" si="14"/>
        <v>34.999999999999986</v>
      </c>
      <c r="Q27" s="117">
        <v>0</v>
      </c>
      <c r="R27" s="21">
        <f t="shared" si="10"/>
        <v>0</v>
      </c>
      <c r="S27" s="64">
        <f t="shared" si="15"/>
        <v>0</v>
      </c>
      <c r="T27" s="21">
        <f t="shared" si="4"/>
        <v>34.999999999999986</v>
      </c>
      <c r="U27" s="21" t="str">
        <f t="shared" si="11"/>
        <v>-</v>
      </c>
      <c r="V27" s="21">
        <f t="shared" si="12"/>
        <v>0</v>
      </c>
      <c r="W27" s="39" t="str">
        <f t="shared" si="13"/>
        <v>Velocidade OK</v>
      </c>
      <c r="X27" s="21" t="str">
        <f t="shared" si="5"/>
        <v>-</v>
      </c>
    </row>
    <row r="28" spans="2:33" ht="15" customHeight="1" x14ac:dyDescent="0.3">
      <c r="B28" s="113" t="s">
        <v>34</v>
      </c>
      <c r="C28" s="113" t="s">
        <v>35</v>
      </c>
      <c r="D28" s="114">
        <v>0</v>
      </c>
      <c r="E28" s="21" t="str">
        <f t="shared" si="1"/>
        <v>100,00</v>
      </c>
      <c r="F28" s="23">
        <f t="shared" si="2"/>
        <v>0</v>
      </c>
      <c r="G28" s="21">
        <f t="shared" si="6"/>
        <v>0</v>
      </c>
      <c r="H28" s="117">
        <v>0</v>
      </c>
      <c r="I28" s="113"/>
      <c r="J28" s="8" t="b">
        <f>IF(I28="",FALSE,IF(I28="F",3,VLOOKUP(I28,DADOS!$A$4:$B$19,2,0)))</f>
        <v>0</v>
      </c>
      <c r="K28" s="21">
        <f t="shared" si="7"/>
        <v>50</v>
      </c>
      <c r="L28" s="21">
        <f t="shared" si="8"/>
        <v>0</v>
      </c>
      <c r="M28" s="21">
        <f t="shared" si="3"/>
        <v>0</v>
      </c>
      <c r="N28" s="113">
        <v>16</v>
      </c>
      <c r="O28" s="8">
        <f t="shared" si="9"/>
        <v>12</v>
      </c>
      <c r="P28" s="21">
        <f t="shared" si="14"/>
        <v>34.999999999999986</v>
      </c>
      <c r="Q28" s="117">
        <v>0</v>
      </c>
      <c r="R28" s="21">
        <f t="shared" si="10"/>
        <v>0</v>
      </c>
      <c r="S28" s="64">
        <f t="shared" si="15"/>
        <v>0</v>
      </c>
      <c r="T28" s="21">
        <f t="shared" si="4"/>
        <v>34.999999999999986</v>
      </c>
      <c r="U28" s="21" t="str">
        <f t="shared" si="11"/>
        <v>-</v>
      </c>
      <c r="V28" s="21">
        <f t="shared" si="12"/>
        <v>0</v>
      </c>
      <c r="W28" s="39" t="str">
        <f t="shared" si="13"/>
        <v>Velocidade OK</v>
      </c>
      <c r="X28" s="21" t="str">
        <f t="shared" si="5"/>
        <v>-</v>
      </c>
    </row>
    <row r="29" spans="2:33" ht="15" customHeight="1" x14ac:dyDescent="0.3">
      <c r="B29" s="113" t="s">
        <v>35</v>
      </c>
      <c r="C29" s="113" t="s">
        <v>36</v>
      </c>
      <c r="D29" s="114">
        <v>0</v>
      </c>
      <c r="E29" s="21" t="str">
        <f t="shared" si="1"/>
        <v>100,00</v>
      </c>
      <c r="F29" s="23">
        <f t="shared" si="2"/>
        <v>0</v>
      </c>
      <c r="G29" s="21">
        <f t="shared" si="6"/>
        <v>0</v>
      </c>
      <c r="H29" s="117">
        <v>0</v>
      </c>
      <c r="I29" s="113"/>
      <c r="J29" s="8" t="b">
        <f>IF(I29="",FALSE,IF(I29="F",3,VLOOKUP(I29,DADOS!$A$4:$B$19,2,0)))</f>
        <v>0</v>
      </c>
      <c r="K29" s="21">
        <f t="shared" si="7"/>
        <v>50</v>
      </c>
      <c r="L29" s="21">
        <f t="shared" si="8"/>
        <v>0</v>
      </c>
      <c r="M29" s="21">
        <f t="shared" si="3"/>
        <v>0</v>
      </c>
      <c r="N29" s="113">
        <v>16</v>
      </c>
      <c r="O29" s="8">
        <f t="shared" si="9"/>
        <v>12</v>
      </c>
      <c r="P29" s="21">
        <f t="shared" si="14"/>
        <v>34.999999999999986</v>
      </c>
      <c r="Q29" s="117">
        <v>0</v>
      </c>
      <c r="R29" s="21">
        <f t="shared" si="10"/>
        <v>0</v>
      </c>
      <c r="S29" s="64">
        <f t="shared" si="15"/>
        <v>0</v>
      </c>
      <c r="T29" s="21">
        <f t="shared" si="4"/>
        <v>34.999999999999986</v>
      </c>
      <c r="U29" s="21" t="str">
        <f t="shared" si="11"/>
        <v>-</v>
      </c>
      <c r="V29" s="21">
        <f t="shared" si="12"/>
        <v>0</v>
      </c>
      <c r="W29" s="39" t="str">
        <f t="shared" si="13"/>
        <v>Velocidade OK</v>
      </c>
      <c r="X29" s="21" t="str">
        <f t="shared" si="5"/>
        <v>-</v>
      </c>
    </row>
    <row r="30" spans="2:33" ht="15" customHeight="1" x14ac:dyDescent="0.3">
      <c r="B30" s="113" t="s">
        <v>36</v>
      </c>
      <c r="C30" s="113" t="s">
        <v>37</v>
      </c>
      <c r="D30" s="114">
        <v>0</v>
      </c>
      <c r="E30" s="21" t="str">
        <f t="shared" si="1"/>
        <v>100,00</v>
      </c>
      <c r="F30" s="23">
        <f t="shared" si="2"/>
        <v>0</v>
      </c>
      <c r="G30" s="21">
        <f t="shared" si="6"/>
        <v>0</v>
      </c>
      <c r="H30" s="117">
        <v>0</v>
      </c>
      <c r="I30" s="113"/>
      <c r="J30" s="8" t="b">
        <f>IF(I30="",FALSE,IF(I30="F",3,VLOOKUP(I30,DADOS!$A$4:$B$19,2,0)))</f>
        <v>0</v>
      </c>
      <c r="K30" s="21">
        <f t="shared" si="7"/>
        <v>50</v>
      </c>
      <c r="L30" s="21">
        <f t="shared" si="8"/>
        <v>0</v>
      </c>
      <c r="M30" s="21">
        <f t="shared" si="3"/>
        <v>0</v>
      </c>
      <c r="N30" s="113">
        <v>16</v>
      </c>
      <c r="O30" s="8">
        <f t="shared" si="9"/>
        <v>12</v>
      </c>
      <c r="P30" s="21">
        <f t="shared" si="14"/>
        <v>34.999999999999986</v>
      </c>
      <c r="Q30" s="117">
        <v>0</v>
      </c>
      <c r="R30" s="21">
        <f t="shared" si="10"/>
        <v>0</v>
      </c>
      <c r="S30" s="64">
        <f t="shared" si="15"/>
        <v>0</v>
      </c>
      <c r="T30" s="21">
        <f t="shared" si="4"/>
        <v>34.999999999999986</v>
      </c>
      <c r="U30" s="21" t="str">
        <f t="shared" si="11"/>
        <v>-</v>
      </c>
      <c r="V30" s="21">
        <f t="shared" si="12"/>
        <v>0</v>
      </c>
      <c r="W30" s="39" t="str">
        <f t="shared" si="13"/>
        <v>Velocidade OK</v>
      </c>
      <c r="X30" s="21" t="str">
        <f t="shared" si="5"/>
        <v>-</v>
      </c>
    </row>
    <row r="31" spans="2:33" ht="15" customHeight="1" x14ac:dyDescent="0.3">
      <c r="B31" s="113" t="s">
        <v>37</v>
      </c>
      <c r="C31" s="113" t="s">
        <v>43</v>
      </c>
      <c r="D31" s="114">
        <v>0</v>
      </c>
      <c r="E31" s="21" t="str">
        <f t="shared" si="1"/>
        <v>100,00</v>
      </c>
      <c r="F31" s="23">
        <f t="shared" si="2"/>
        <v>0</v>
      </c>
      <c r="G31" s="21">
        <f t="shared" si="6"/>
        <v>0</v>
      </c>
      <c r="H31" s="117">
        <v>0</v>
      </c>
      <c r="I31" s="113"/>
      <c r="J31" s="8" t="b">
        <f>IF(I31="",FALSE,IF(I31="F",3,VLOOKUP(I31,DADOS!$A$4:$B$19,2,0)))</f>
        <v>0</v>
      </c>
      <c r="K31" s="21">
        <f t="shared" si="7"/>
        <v>50</v>
      </c>
      <c r="L31" s="21">
        <f t="shared" si="8"/>
        <v>0</v>
      </c>
      <c r="M31" s="21">
        <f t="shared" si="3"/>
        <v>0</v>
      </c>
      <c r="N31" s="113">
        <v>16</v>
      </c>
      <c r="O31" s="8">
        <f t="shared" si="9"/>
        <v>12</v>
      </c>
      <c r="P31" s="21">
        <f t="shared" si="14"/>
        <v>34.999999999999986</v>
      </c>
      <c r="Q31" s="117">
        <v>0</v>
      </c>
      <c r="R31" s="21">
        <f t="shared" si="10"/>
        <v>0</v>
      </c>
      <c r="S31" s="64">
        <f t="shared" si="15"/>
        <v>0</v>
      </c>
      <c r="T31" s="21">
        <f t="shared" si="4"/>
        <v>34.999999999999986</v>
      </c>
      <c r="U31" s="21" t="str">
        <f t="shared" si="11"/>
        <v>-</v>
      </c>
      <c r="V31" s="21">
        <f t="shared" si="12"/>
        <v>0</v>
      </c>
      <c r="W31" s="39" t="str">
        <f t="shared" si="13"/>
        <v>Velocidade OK</v>
      </c>
      <c r="X31" s="21" t="str">
        <f t="shared" si="5"/>
        <v>-</v>
      </c>
    </row>
    <row r="32" spans="2:33" ht="15" customHeight="1" x14ac:dyDescent="0.3">
      <c r="B32" s="113" t="s">
        <v>43</v>
      </c>
      <c r="C32" s="113" t="s">
        <v>38</v>
      </c>
      <c r="D32" s="114">
        <v>0</v>
      </c>
      <c r="E32" s="21" t="str">
        <f t="shared" si="1"/>
        <v>100,00</v>
      </c>
      <c r="F32" s="23">
        <f t="shared" si="2"/>
        <v>0</v>
      </c>
      <c r="G32" s="21">
        <f t="shared" si="6"/>
        <v>0</v>
      </c>
      <c r="H32" s="117">
        <v>0</v>
      </c>
      <c r="I32" s="113"/>
      <c r="J32" s="8" t="b">
        <f>IF(I32="",FALSE,IF(I32="F",3,VLOOKUP(I32,DADOS!$A$4:$B$19,2,0)))</f>
        <v>0</v>
      </c>
      <c r="K32" s="21">
        <f t="shared" si="7"/>
        <v>50</v>
      </c>
      <c r="L32" s="21">
        <f t="shared" si="8"/>
        <v>0</v>
      </c>
      <c r="M32" s="21">
        <f t="shared" si="3"/>
        <v>0</v>
      </c>
      <c r="N32" s="113">
        <v>16</v>
      </c>
      <c r="O32" s="8">
        <f t="shared" si="9"/>
        <v>12</v>
      </c>
      <c r="P32" s="21">
        <f t="shared" si="14"/>
        <v>34.999999999999986</v>
      </c>
      <c r="Q32" s="117">
        <v>0</v>
      </c>
      <c r="R32" s="21">
        <f t="shared" si="10"/>
        <v>0</v>
      </c>
      <c r="S32" s="64">
        <f t="shared" si="15"/>
        <v>0</v>
      </c>
      <c r="T32" s="21">
        <f t="shared" si="4"/>
        <v>34.999999999999986</v>
      </c>
      <c r="U32" s="21" t="str">
        <f t="shared" si="11"/>
        <v>-</v>
      </c>
      <c r="V32" s="21">
        <f t="shared" si="12"/>
        <v>0</v>
      </c>
      <c r="W32" s="39" t="str">
        <f t="shared" si="13"/>
        <v>Velocidade OK</v>
      </c>
      <c r="X32" s="21" t="str">
        <f t="shared" si="5"/>
        <v>-</v>
      </c>
      <c r="AF32" s="95"/>
      <c r="AG32" s="96"/>
    </row>
    <row r="33" spans="2:33" ht="15" customHeight="1" x14ac:dyDescent="0.3">
      <c r="B33" s="113" t="s">
        <v>38</v>
      </c>
      <c r="C33" s="113" t="s">
        <v>39</v>
      </c>
      <c r="D33" s="114">
        <v>0</v>
      </c>
      <c r="E33" s="21" t="str">
        <f t="shared" si="1"/>
        <v>100,00</v>
      </c>
      <c r="F33" s="23">
        <f t="shared" si="2"/>
        <v>0</v>
      </c>
      <c r="G33" s="21">
        <f t="shared" si="6"/>
        <v>0</v>
      </c>
      <c r="H33" s="117">
        <v>0</v>
      </c>
      <c r="I33" s="113"/>
      <c r="J33" s="8" t="b">
        <f>IF(I33="",FALSE,IF(I33="F",3,VLOOKUP(I33,DADOS!$A$4:$B$19,2,0)))</f>
        <v>0</v>
      </c>
      <c r="K33" s="21">
        <f t="shared" si="7"/>
        <v>50</v>
      </c>
      <c r="L33" s="21">
        <f t="shared" si="8"/>
        <v>0</v>
      </c>
      <c r="M33" s="21">
        <f t="shared" si="3"/>
        <v>0</v>
      </c>
      <c r="N33" s="113">
        <v>16</v>
      </c>
      <c r="O33" s="8">
        <f t="shared" si="9"/>
        <v>12</v>
      </c>
      <c r="P33" s="21">
        <f t="shared" si="14"/>
        <v>34.999999999999986</v>
      </c>
      <c r="Q33" s="117">
        <v>0</v>
      </c>
      <c r="R33" s="21">
        <f t="shared" si="10"/>
        <v>0</v>
      </c>
      <c r="S33" s="64">
        <f t="shared" si="15"/>
        <v>0</v>
      </c>
      <c r="T33" s="21">
        <f t="shared" si="4"/>
        <v>34.999999999999986</v>
      </c>
      <c r="U33" s="21" t="str">
        <f t="shared" si="11"/>
        <v>-</v>
      </c>
      <c r="V33" s="21">
        <f t="shared" si="12"/>
        <v>0</v>
      </c>
      <c r="W33" s="39" t="str">
        <f t="shared" si="13"/>
        <v>Velocidade OK</v>
      </c>
      <c r="X33" s="21" t="str">
        <f t="shared" si="5"/>
        <v>-</v>
      </c>
      <c r="AF33" s="96"/>
      <c r="AG33" s="96"/>
    </row>
    <row r="34" spans="2:33" ht="15" customHeight="1" x14ac:dyDescent="0.3">
      <c r="B34" s="113" t="s">
        <v>39</v>
      </c>
      <c r="C34" s="113" t="s">
        <v>40</v>
      </c>
      <c r="D34" s="114">
        <v>0</v>
      </c>
      <c r="E34" s="21" t="str">
        <f t="shared" si="1"/>
        <v>100,00</v>
      </c>
      <c r="F34" s="23">
        <f t="shared" si="2"/>
        <v>0</v>
      </c>
      <c r="G34" s="21">
        <f t="shared" si="6"/>
        <v>0</v>
      </c>
      <c r="H34" s="117">
        <v>0</v>
      </c>
      <c r="I34" s="113"/>
      <c r="J34" s="8" t="b">
        <f>IF(I34="",FALSE,IF(I34="F",3,VLOOKUP(I34,DADOS!$A$4:$B$19,2,0)))</f>
        <v>0</v>
      </c>
      <c r="K34" s="21">
        <f t="shared" si="7"/>
        <v>50</v>
      </c>
      <c r="L34" s="21">
        <f t="shared" si="8"/>
        <v>0</v>
      </c>
      <c r="M34" s="21">
        <f t="shared" si="3"/>
        <v>0</v>
      </c>
      <c r="N34" s="113">
        <v>16</v>
      </c>
      <c r="O34" s="8">
        <f t="shared" si="9"/>
        <v>12</v>
      </c>
      <c r="P34" s="21">
        <f t="shared" si="14"/>
        <v>34.999999999999986</v>
      </c>
      <c r="Q34" s="117">
        <v>0</v>
      </c>
      <c r="R34" s="21">
        <f t="shared" si="10"/>
        <v>0</v>
      </c>
      <c r="S34" s="64">
        <f t="shared" si="15"/>
        <v>0</v>
      </c>
      <c r="T34" s="21">
        <f t="shared" si="4"/>
        <v>34.999999999999986</v>
      </c>
      <c r="U34" s="21" t="str">
        <f t="shared" si="11"/>
        <v>-</v>
      </c>
      <c r="V34" s="21">
        <f t="shared" si="12"/>
        <v>0</v>
      </c>
      <c r="W34" s="39" t="str">
        <f t="shared" si="13"/>
        <v>Velocidade OK</v>
      </c>
      <c r="X34" s="21" t="str">
        <f t="shared" si="5"/>
        <v>-</v>
      </c>
      <c r="AF34" s="96"/>
      <c r="AG34" s="96"/>
    </row>
    <row r="35" spans="2:33" ht="15" customHeight="1" x14ac:dyDescent="0.3">
      <c r="B35" s="113" t="s">
        <v>40</v>
      </c>
      <c r="C35" s="113" t="s">
        <v>41</v>
      </c>
      <c r="D35" s="114">
        <v>0</v>
      </c>
      <c r="E35" s="21" t="str">
        <f t="shared" si="1"/>
        <v>100,00</v>
      </c>
      <c r="F35" s="23">
        <f t="shared" si="2"/>
        <v>0</v>
      </c>
      <c r="G35" s="21">
        <f t="shared" si="6"/>
        <v>0</v>
      </c>
      <c r="H35" s="117">
        <v>0</v>
      </c>
      <c r="I35" s="113"/>
      <c r="J35" s="8" t="b">
        <f>IF(I35="",FALSE,IF(I35="F",3,VLOOKUP(I35,DADOS!$A$4:$B$19,2,0)))</f>
        <v>0</v>
      </c>
      <c r="K35" s="21">
        <f t="shared" si="7"/>
        <v>50</v>
      </c>
      <c r="L35" s="21">
        <f t="shared" si="8"/>
        <v>0</v>
      </c>
      <c r="M35" s="21">
        <f t="shared" si="3"/>
        <v>0</v>
      </c>
      <c r="N35" s="113">
        <v>16</v>
      </c>
      <c r="O35" s="8">
        <f t="shared" si="9"/>
        <v>12</v>
      </c>
      <c r="P35" s="21">
        <f t="shared" si="14"/>
        <v>34.999999999999986</v>
      </c>
      <c r="Q35" s="117">
        <v>0</v>
      </c>
      <c r="R35" s="21">
        <f t="shared" si="10"/>
        <v>0</v>
      </c>
      <c r="S35" s="64">
        <f t="shared" si="15"/>
        <v>0</v>
      </c>
      <c r="T35" s="21">
        <f t="shared" si="4"/>
        <v>34.999999999999986</v>
      </c>
      <c r="U35" s="21" t="str">
        <f t="shared" si="11"/>
        <v>-</v>
      </c>
      <c r="V35" s="21">
        <f t="shared" si="12"/>
        <v>0</v>
      </c>
      <c r="W35" s="39" t="str">
        <f t="shared" si="13"/>
        <v>Velocidade OK</v>
      </c>
      <c r="X35" s="21" t="str">
        <f t="shared" si="5"/>
        <v>-</v>
      </c>
    </row>
    <row r="36" spans="2:33" ht="15" customHeight="1" x14ac:dyDescent="0.3">
      <c r="B36" s="113" t="s">
        <v>41</v>
      </c>
      <c r="C36" s="113" t="s">
        <v>42</v>
      </c>
      <c r="D36" s="114">
        <v>0</v>
      </c>
      <c r="E36" s="21" t="str">
        <f t="shared" si="1"/>
        <v>100,00</v>
      </c>
      <c r="F36" s="23">
        <f t="shared" si="2"/>
        <v>0</v>
      </c>
      <c r="G36" s="21">
        <f t="shared" si="6"/>
        <v>0</v>
      </c>
      <c r="H36" s="117">
        <v>0</v>
      </c>
      <c r="I36" s="113"/>
      <c r="J36" s="8" t="b">
        <f>IF(I36="",FALSE,IF(I36="F",3,VLOOKUP(I36,DADOS!$A$4:$B$19,2,0)))</f>
        <v>0</v>
      </c>
      <c r="K36" s="21">
        <f t="shared" si="7"/>
        <v>50</v>
      </c>
      <c r="L36" s="21">
        <f t="shared" si="8"/>
        <v>0</v>
      </c>
      <c r="M36" s="21">
        <f t="shared" si="3"/>
        <v>0</v>
      </c>
      <c r="N36" s="113">
        <v>16</v>
      </c>
      <c r="O36" s="8">
        <f t="shared" si="9"/>
        <v>12</v>
      </c>
      <c r="P36" s="21">
        <f t="shared" si="14"/>
        <v>34.999999999999986</v>
      </c>
      <c r="Q36" s="117">
        <v>0</v>
      </c>
      <c r="R36" s="21">
        <f t="shared" si="10"/>
        <v>0</v>
      </c>
      <c r="S36" s="64">
        <f t="shared" si="15"/>
        <v>0</v>
      </c>
      <c r="T36" s="21">
        <f t="shared" si="4"/>
        <v>34.999999999999986</v>
      </c>
      <c r="U36" s="21" t="str">
        <f t="shared" si="11"/>
        <v>-</v>
      </c>
      <c r="V36" s="21">
        <f t="shared" si="12"/>
        <v>0</v>
      </c>
      <c r="W36" s="39" t="str">
        <f t="shared" si="13"/>
        <v>Velocidade OK</v>
      </c>
      <c r="X36" s="21" t="str">
        <f t="shared" si="5"/>
        <v>-</v>
      </c>
    </row>
    <row r="37" spans="2:33" ht="15" customHeight="1" x14ac:dyDescent="0.3">
      <c r="B37" s="113" t="s">
        <v>42</v>
      </c>
      <c r="C37" s="113" t="s">
        <v>44</v>
      </c>
      <c r="D37" s="114">
        <v>0</v>
      </c>
      <c r="E37" s="21" t="str">
        <f t="shared" si="1"/>
        <v>100,00</v>
      </c>
      <c r="F37" s="23">
        <f t="shared" si="2"/>
        <v>0</v>
      </c>
      <c r="G37" s="21">
        <f t="shared" si="6"/>
        <v>0</v>
      </c>
      <c r="H37" s="117">
        <v>0</v>
      </c>
      <c r="I37" s="113"/>
      <c r="J37" s="8" t="b">
        <f>IF(I37="",FALSE,IF(I37="F",3,VLOOKUP(I37,DADOS!$A$4:$B$19,2,0)))</f>
        <v>0</v>
      </c>
      <c r="K37" s="21">
        <f t="shared" si="7"/>
        <v>50</v>
      </c>
      <c r="L37" s="21">
        <f t="shared" si="8"/>
        <v>0</v>
      </c>
      <c r="M37" s="21">
        <f t="shared" si="3"/>
        <v>0</v>
      </c>
      <c r="N37" s="113">
        <v>16</v>
      </c>
      <c r="O37" s="8">
        <f t="shared" si="9"/>
        <v>12</v>
      </c>
      <c r="P37" s="21">
        <f t="shared" si="14"/>
        <v>34.999999999999986</v>
      </c>
      <c r="Q37" s="117">
        <v>0</v>
      </c>
      <c r="R37" s="21">
        <f t="shared" si="10"/>
        <v>0</v>
      </c>
      <c r="S37" s="64">
        <f t="shared" si="15"/>
        <v>0</v>
      </c>
      <c r="T37" s="21">
        <f t="shared" si="4"/>
        <v>34.999999999999986</v>
      </c>
      <c r="U37" s="21" t="str">
        <f t="shared" si="11"/>
        <v>-</v>
      </c>
      <c r="V37" s="21">
        <f t="shared" si="12"/>
        <v>0</v>
      </c>
      <c r="W37" s="39" t="str">
        <f t="shared" si="13"/>
        <v>Velocidade OK</v>
      </c>
      <c r="X37" s="21" t="str">
        <f t="shared" si="5"/>
        <v>-</v>
      </c>
    </row>
    <row r="38" spans="2:33" ht="15" customHeight="1" x14ac:dyDescent="0.3">
      <c r="B38" s="115" t="s">
        <v>44</v>
      </c>
      <c r="C38" s="115" t="s">
        <v>45</v>
      </c>
      <c r="D38" s="116">
        <v>0</v>
      </c>
      <c r="E38" s="22" t="str">
        <f t="shared" si="1"/>
        <v>100,00</v>
      </c>
      <c r="F38" s="24">
        <f t="shared" si="2"/>
        <v>0</v>
      </c>
      <c r="G38" s="22">
        <f t="shared" si="6"/>
        <v>0</v>
      </c>
      <c r="H38" s="118">
        <v>0</v>
      </c>
      <c r="I38" s="115"/>
      <c r="J38" s="8" t="b">
        <f>IF(I38="",FALSE,IF(I38="F",3,VLOOKUP(I38,DADOS!$A$4:$B$19,2,0)))</f>
        <v>0</v>
      </c>
      <c r="K38" s="22">
        <f t="shared" si="7"/>
        <v>50</v>
      </c>
      <c r="L38" s="22">
        <f t="shared" si="8"/>
        <v>0</v>
      </c>
      <c r="M38" s="22">
        <f t="shared" si="3"/>
        <v>0</v>
      </c>
      <c r="N38" s="115">
        <v>16</v>
      </c>
      <c r="O38" s="20">
        <f t="shared" si="9"/>
        <v>12</v>
      </c>
      <c r="P38" s="21">
        <f t="shared" si="14"/>
        <v>34.999999999999986</v>
      </c>
      <c r="Q38" s="118">
        <v>0</v>
      </c>
      <c r="R38" s="21">
        <f t="shared" si="10"/>
        <v>0</v>
      </c>
      <c r="S38" s="64">
        <f t="shared" si="15"/>
        <v>0</v>
      </c>
      <c r="T38" s="21">
        <f t="shared" si="4"/>
        <v>34.999999999999986</v>
      </c>
      <c r="U38" s="22" t="str">
        <f t="shared" si="11"/>
        <v>-</v>
      </c>
      <c r="V38" s="22">
        <f t="shared" si="12"/>
        <v>0</v>
      </c>
      <c r="W38" s="39" t="str">
        <f t="shared" si="13"/>
        <v>Velocidade OK</v>
      </c>
      <c r="X38" s="22" t="str">
        <f t="shared" si="5"/>
        <v>-</v>
      </c>
    </row>
    <row r="39" spans="2:33" ht="15" customHeight="1" x14ac:dyDescent="0.3">
      <c r="B39" s="115" t="s">
        <v>45</v>
      </c>
      <c r="C39" s="115" t="s">
        <v>46</v>
      </c>
      <c r="D39" s="116">
        <v>0</v>
      </c>
      <c r="E39" s="22" t="str">
        <f t="shared" si="1"/>
        <v>100,00</v>
      </c>
      <c r="F39" s="24">
        <f t="shared" si="2"/>
        <v>0</v>
      </c>
      <c r="G39" s="22">
        <f t="shared" si="6"/>
        <v>0</v>
      </c>
      <c r="H39" s="118">
        <v>0</v>
      </c>
      <c r="I39" s="115"/>
      <c r="J39" s="8" t="b">
        <f>IF(I39="",FALSE,IF(I39="F",3,VLOOKUP(I39,DADOS!$A$4:$B$19,2,0)))</f>
        <v>0</v>
      </c>
      <c r="K39" s="22">
        <f t="shared" si="7"/>
        <v>50</v>
      </c>
      <c r="L39" s="22">
        <f t="shared" si="8"/>
        <v>0</v>
      </c>
      <c r="M39" s="22">
        <f t="shared" ref="M39:M53" si="16">SUM(H39+L39)</f>
        <v>0</v>
      </c>
      <c r="N39" s="115">
        <v>16</v>
      </c>
      <c r="O39" s="20">
        <f t="shared" si="9"/>
        <v>12</v>
      </c>
      <c r="P39" s="21">
        <f t="shared" si="14"/>
        <v>34.999999999999986</v>
      </c>
      <c r="Q39" s="118">
        <v>0</v>
      </c>
      <c r="R39" s="21">
        <f t="shared" si="10"/>
        <v>0</v>
      </c>
      <c r="S39" s="64">
        <f t="shared" si="15"/>
        <v>0</v>
      </c>
      <c r="T39" s="21">
        <f t="shared" si="4"/>
        <v>34.999999999999986</v>
      </c>
      <c r="U39" s="22" t="str">
        <f t="shared" si="11"/>
        <v>-</v>
      </c>
      <c r="V39" s="22">
        <f t="shared" si="12"/>
        <v>0</v>
      </c>
      <c r="W39" s="39" t="str">
        <f t="shared" si="13"/>
        <v>Velocidade OK</v>
      </c>
      <c r="X39" s="22" t="str">
        <f t="shared" si="5"/>
        <v>-</v>
      </c>
    </row>
    <row r="40" spans="2:33" ht="15" customHeight="1" x14ac:dyDescent="0.3">
      <c r="B40" s="115" t="s">
        <v>46</v>
      </c>
      <c r="C40" s="115" t="s">
        <v>112</v>
      </c>
      <c r="D40" s="116">
        <v>0</v>
      </c>
      <c r="E40" s="22" t="str">
        <f t="shared" si="1"/>
        <v>100,00</v>
      </c>
      <c r="F40" s="24">
        <f t="shared" si="2"/>
        <v>0</v>
      </c>
      <c r="G40" s="22">
        <f t="shared" si="6"/>
        <v>0</v>
      </c>
      <c r="H40" s="118">
        <v>0</v>
      </c>
      <c r="I40" s="115"/>
      <c r="J40" s="8" t="b">
        <f>IF(I40="",FALSE,IF(I40="F",3,VLOOKUP(I40,DADOS!$A$4:$B$19,2,0)))</f>
        <v>0</v>
      </c>
      <c r="K40" s="22">
        <f t="shared" si="7"/>
        <v>50</v>
      </c>
      <c r="L40" s="22">
        <f t="shared" si="8"/>
        <v>0</v>
      </c>
      <c r="M40" s="22">
        <f t="shared" si="16"/>
        <v>0</v>
      </c>
      <c r="N40" s="115">
        <v>16</v>
      </c>
      <c r="O40" s="20">
        <f t="shared" si="9"/>
        <v>12</v>
      </c>
      <c r="P40" s="21">
        <f t="shared" si="14"/>
        <v>34.999999999999986</v>
      </c>
      <c r="Q40" s="118">
        <v>0</v>
      </c>
      <c r="R40" s="21">
        <f t="shared" si="10"/>
        <v>0</v>
      </c>
      <c r="S40" s="64">
        <f t="shared" si="15"/>
        <v>0</v>
      </c>
      <c r="T40" s="21">
        <f t="shared" si="4"/>
        <v>34.999999999999986</v>
      </c>
      <c r="U40" s="22" t="str">
        <f t="shared" si="11"/>
        <v>-</v>
      </c>
      <c r="V40" s="22">
        <f t="shared" si="12"/>
        <v>0</v>
      </c>
      <c r="W40" s="39" t="str">
        <f t="shared" si="13"/>
        <v>Velocidade OK</v>
      </c>
      <c r="X40" s="22" t="str">
        <f t="shared" si="5"/>
        <v>-</v>
      </c>
    </row>
    <row r="41" spans="2:33" ht="15" customHeight="1" x14ac:dyDescent="0.3">
      <c r="B41" s="115" t="s">
        <v>112</v>
      </c>
      <c r="C41" s="115" t="s">
        <v>113</v>
      </c>
      <c r="D41" s="116">
        <v>0</v>
      </c>
      <c r="E41" s="22" t="str">
        <f t="shared" si="1"/>
        <v>100,00</v>
      </c>
      <c r="F41" s="24">
        <f t="shared" si="2"/>
        <v>0</v>
      </c>
      <c r="G41" s="22">
        <f t="shared" si="6"/>
        <v>0</v>
      </c>
      <c r="H41" s="118">
        <v>0</v>
      </c>
      <c r="I41" s="115"/>
      <c r="J41" s="8" t="b">
        <f>IF(I41="",FALSE,IF(I41="F",3,VLOOKUP(I41,DADOS!$A$4:$B$19,2,0)))</f>
        <v>0</v>
      </c>
      <c r="K41" s="22">
        <f t="shared" si="7"/>
        <v>50</v>
      </c>
      <c r="L41" s="22">
        <f t="shared" si="8"/>
        <v>0</v>
      </c>
      <c r="M41" s="22">
        <f t="shared" si="16"/>
        <v>0</v>
      </c>
      <c r="N41" s="115">
        <v>16</v>
      </c>
      <c r="O41" s="20">
        <f t="shared" si="9"/>
        <v>12</v>
      </c>
      <c r="P41" s="21">
        <f t="shared" si="14"/>
        <v>34.999999999999986</v>
      </c>
      <c r="Q41" s="118">
        <v>0</v>
      </c>
      <c r="R41" s="21">
        <f t="shared" si="10"/>
        <v>0</v>
      </c>
      <c r="S41" s="64">
        <f t="shared" si="15"/>
        <v>0</v>
      </c>
      <c r="T41" s="21">
        <f t="shared" si="4"/>
        <v>34.999999999999986</v>
      </c>
      <c r="U41" s="22" t="str">
        <f t="shared" si="11"/>
        <v>-</v>
      </c>
      <c r="V41" s="22">
        <f t="shared" si="12"/>
        <v>0</v>
      </c>
      <c r="W41" s="39" t="str">
        <f t="shared" si="13"/>
        <v>Velocidade OK</v>
      </c>
      <c r="X41" s="22" t="str">
        <f t="shared" si="5"/>
        <v>-</v>
      </c>
    </row>
    <row r="42" spans="2:33" ht="15" customHeight="1" x14ac:dyDescent="0.3">
      <c r="B42" s="115" t="s">
        <v>113</v>
      </c>
      <c r="C42" s="115" t="s">
        <v>114</v>
      </c>
      <c r="D42" s="116">
        <v>0</v>
      </c>
      <c r="E42" s="22" t="str">
        <f t="shared" si="1"/>
        <v>100,00</v>
      </c>
      <c r="F42" s="24">
        <f t="shared" si="2"/>
        <v>0</v>
      </c>
      <c r="G42" s="22">
        <f t="shared" si="6"/>
        <v>0</v>
      </c>
      <c r="H42" s="118">
        <v>0</v>
      </c>
      <c r="I42" s="115"/>
      <c r="J42" s="8" t="b">
        <f>IF(I42="",FALSE,IF(I42="F",3,VLOOKUP(I42,DADOS!$A$4:$B$19,2,0)))</f>
        <v>0</v>
      </c>
      <c r="K42" s="22">
        <f t="shared" si="7"/>
        <v>50</v>
      </c>
      <c r="L42" s="22">
        <f t="shared" si="8"/>
        <v>0</v>
      </c>
      <c r="M42" s="22">
        <f t="shared" si="16"/>
        <v>0</v>
      </c>
      <c r="N42" s="115">
        <v>16</v>
      </c>
      <c r="O42" s="20">
        <f t="shared" si="9"/>
        <v>12</v>
      </c>
      <c r="P42" s="21">
        <f t="shared" si="14"/>
        <v>34.999999999999986</v>
      </c>
      <c r="Q42" s="118">
        <v>0</v>
      </c>
      <c r="R42" s="21">
        <f t="shared" si="10"/>
        <v>0</v>
      </c>
      <c r="S42" s="64">
        <f t="shared" si="15"/>
        <v>0</v>
      </c>
      <c r="T42" s="21">
        <f t="shared" si="4"/>
        <v>34.999999999999986</v>
      </c>
      <c r="U42" s="22" t="str">
        <f t="shared" si="11"/>
        <v>-</v>
      </c>
      <c r="V42" s="22">
        <f t="shared" si="12"/>
        <v>0</v>
      </c>
      <c r="W42" s="39" t="str">
        <f t="shared" si="13"/>
        <v>Velocidade OK</v>
      </c>
      <c r="X42" s="22" t="str">
        <f t="shared" si="5"/>
        <v>-</v>
      </c>
    </row>
    <row r="43" spans="2:33" ht="15" customHeight="1" x14ac:dyDescent="0.3">
      <c r="B43" s="115" t="s">
        <v>114</v>
      </c>
      <c r="C43" s="115" t="s">
        <v>115</v>
      </c>
      <c r="D43" s="116">
        <v>0</v>
      </c>
      <c r="E43" s="22" t="str">
        <f t="shared" si="1"/>
        <v>100,00</v>
      </c>
      <c r="F43" s="24">
        <f t="shared" si="2"/>
        <v>0</v>
      </c>
      <c r="G43" s="22">
        <f t="shared" si="6"/>
        <v>0</v>
      </c>
      <c r="H43" s="118">
        <v>0</v>
      </c>
      <c r="I43" s="115"/>
      <c r="J43" s="8" t="b">
        <f>IF(I43="",FALSE,IF(I43="F",3,VLOOKUP(I43,DADOS!$A$4:$B$19,2,0)))</f>
        <v>0</v>
      </c>
      <c r="K43" s="22">
        <f t="shared" si="7"/>
        <v>50</v>
      </c>
      <c r="L43" s="22">
        <f t="shared" si="8"/>
        <v>0</v>
      </c>
      <c r="M43" s="22">
        <f t="shared" si="16"/>
        <v>0</v>
      </c>
      <c r="N43" s="115">
        <v>16</v>
      </c>
      <c r="O43" s="20">
        <f t="shared" si="9"/>
        <v>12</v>
      </c>
      <c r="P43" s="21">
        <f t="shared" si="14"/>
        <v>34.999999999999986</v>
      </c>
      <c r="Q43" s="118">
        <v>0</v>
      </c>
      <c r="R43" s="21">
        <f t="shared" si="10"/>
        <v>0</v>
      </c>
      <c r="S43" s="64">
        <f t="shared" si="15"/>
        <v>0</v>
      </c>
      <c r="T43" s="21">
        <f t="shared" si="4"/>
        <v>34.999999999999986</v>
      </c>
      <c r="U43" s="22" t="str">
        <f t="shared" si="11"/>
        <v>-</v>
      </c>
      <c r="V43" s="22">
        <f t="shared" si="12"/>
        <v>0</v>
      </c>
      <c r="W43" s="39" t="str">
        <f t="shared" si="13"/>
        <v>Velocidade OK</v>
      </c>
      <c r="X43" s="22" t="str">
        <f t="shared" si="5"/>
        <v>-</v>
      </c>
    </row>
    <row r="44" spans="2:33" ht="15" customHeight="1" x14ac:dyDescent="0.3">
      <c r="B44" s="115" t="s">
        <v>115</v>
      </c>
      <c r="C44" s="115" t="s">
        <v>116</v>
      </c>
      <c r="D44" s="116">
        <v>0</v>
      </c>
      <c r="E44" s="22" t="str">
        <f t="shared" si="1"/>
        <v>100,00</v>
      </c>
      <c r="F44" s="24">
        <f t="shared" si="2"/>
        <v>0</v>
      </c>
      <c r="G44" s="22">
        <f t="shared" si="6"/>
        <v>0</v>
      </c>
      <c r="H44" s="118">
        <v>0</v>
      </c>
      <c r="I44" s="115"/>
      <c r="J44" s="8" t="b">
        <f>IF(I44="",FALSE,IF(I44="F",3,VLOOKUP(I44,DADOS!$A$4:$B$19,2,0)))</f>
        <v>0</v>
      </c>
      <c r="K44" s="22">
        <f t="shared" si="7"/>
        <v>50</v>
      </c>
      <c r="L44" s="22">
        <f t="shared" si="8"/>
        <v>0</v>
      </c>
      <c r="M44" s="22">
        <f t="shared" ref="M44:M52" si="17">SUM(H44+L44)</f>
        <v>0</v>
      </c>
      <c r="N44" s="115">
        <v>16</v>
      </c>
      <c r="O44" s="20">
        <f t="shared" si="9"/>
        <v>12</v>
      </c>
      <c r="P44" s="21">
        <f t="shared" si="14"/>
        <v>34.999999999999986</v>
      </c>
      <c r="Q44" s="118">
        <v>0</v>
      </c>
      <c r="R44" s="21">
        <f t="shared" si="10"/>
        <v>0</v>
      </c>
      <c r="S44" s="64">
        <f t="shared" si="15"/>
        <v>0</v>
      </c>
      <c r="T44" s="21">
        <f t="shared" si="4"/>
        <v>34.999999999999986</v>
      </c>
      <c r="U44" s="22" t="str">
        <f t="shared" si="11"/>
        <v>-</v>
      </c>
      <c r="V44" s="22">
        <f t="shared" si="12"/>
        <v>0</v>
      </c>
      <c r="W44" s="39" t="str">
        <f t="shared" si="13"/>
        <v>Velocidade OK</v>
      </c>
      <c r="X44" s="22" t="str">
        <f t="shared" si="5"/>
        <v>-</v>
      </c>
    </row>
    <row r="45" spans="2:33" ht="15" customHeight="1" x14ac:dyDescent="0.3">
      <c r="B45" s="115" t="s">
        <v>116</v>
      </c>
      <c r="C45" s="115" t="s">
        <v>117</v>
      </c>
      <c r="D45" s="116">
        <v>0</v>
      </c>
      <c r="E45" s="22" t="str">
        <f t="shared" si="1"/>
        <v>100,00</v>
      </c>
      <c r="F45" s="24">
        <f t="shared" si="2"/>
        <v>0</v>
      </c>
      <c r="G45" s="22">
        <f t="shared" si="6"/>
        <v>0</v>
      </c>
      <c r="H45" s="118">
        <v>0</v>
      </c>
      <c r="I45" s="115"/>
      <c r="J45" s="8" t="b">
        <f>IF(I45="",FALSE,IF(I45="F",3,VLOOKUP(I45,DADOS!$A$4:$B$19,2,0)))</f>
        <v>0</v>
      </c>
      <c r="K45" s="22">
        <f t="shared" si="7"/>
        <v>50</v>
      </c>
      <c r="L45" s="22">
        <f t="shared" si="8"/>
        <v>0</v>
      </c>
      <c r="M45" s="22">
        <f t="shared" si="17"/>
        <v>0</v>
      </c>
      <c r="N45" s="115">
        <v>16</v>
      </c>
      <c r="O45" s="20">
        <f t="shared" si="9"/>
        <v>12</v>
      </c>
      <c r="P45" s="21">
        <f t="shared" si="14"/>
        <v>34.999999999999986</v>
      </c>
      <c r="Q45" s="118">
        <v>0</v>
      </c>
      <c r="R45" s="21">
        <f t="shared" si="10"/>
        <v>0</v>
      </c>
      <c r="S45" s="64">
        <f t="shared" si="15"/>
        <v>0</v>
      </c>
      <c r="T45" s="21">
        <f t="shared" si="4"/>
        <v>34.999999999999986</v>
      </c>
      <c r="U45" s="22" t="str">
        <f t="shared" si="11"/>
        <v>-</v>
      </c>
      <c r="V45" s="22">
        <f t="shared" si="12"/>
        <v>0</v>
      </c>
      <c r="W45" s="39" t="str">
        <f t="shared" si="13"/>
        <v>Velocidade OK</v>
      </c>
      <c r="X45" s="22" t="str">
        <f t="shared" si="5"/>
        <v>-</v>
      </c>
    </row>
    <row r="46" spans="2:33" ht="15" customHeight="1" x14ac:dyDescent="0.3">
      <c r="B46" s="115" t="s">
        <v>117</v>
      </c>
      <c r="C46" s="115" t="s">
        <v>118</v>
      </c>
      <c r="D46" s="116">
        <v>0</v>
      </c>
      <c r="E46" s="22" t="str">
        <f t="shared" si="1"/>
        <v>100,00</v>
      </c>
      <c r="F46" s="24">
        <f t="shared" si="2"/>
        <v>0</v>
      </c>
      <c r="G46" s="22">
        <f t="shared" si="6"/>
        <v>0</v>
      </c>
      <c r="H46" s="118">
        <v>0</v>
      </c>
      <c r="I46" s="115"/>
      <c r="J46" s="8" t="b">
        <f>IF(I46="",FALSE,IF(I46="F",3,VLOOKUP(I46,DADOS!$A$4:$B$19,2,0)))</f>
        <v>0</v>
      </c>
      <c r="K46" s="22">
        <f t="shared" si="7"/>
        <v>50</v>
      </c>
      <c r="L46" s="22">
        <f t="shared" si="8"/>
        <v>0</v>
      </c>
      <c r="M46" s="22">
        <f t="shared" si="17"/>
        <v>0</v>
      </c>
      <c r="N46" s="115">
        <v>16</v>
      </c>
      <c r="O46" s="20">
        <f t="shared" si="9"/>
        <v>12</v>
      </c>
      <c r="P46" s="21">
        <f t="shared" si="14"/>
        <v>34.999999999999986</v>
      </c>
      <c r="Q46" s="118">
        <v>0</v>
      </c>
      <c r="R46" s="21">
        <f t="shared" si="10"/>
        <v>0</v>
      </c>
      <c r="S46" s="64">
        <f t="shared" si="15"/>
        <v>0</v>
      </c>
      <c r="T46" s="21">
        <f t="shared" si="4"/>
        <v>34.999999999999986</v>
      </c>
      <c r="U46" s="22" t="str">
        <f t="shared" si="11"/>
        <v>-</v>
      </c>
      <c r="V46" s="22">
        <f t="shared" si="12"/>
        <v>0</v>
      </c>
      <c r="W46" s="39" t="str">
        <f t="shared" si="13"/>
        <v>Velocidade OK</v>
      </c>
      <c r="X46" s="22" t="str">
        <f t="shared" si="5"/>
        <v>-</v>
      </c>
    </row>
    <row r="47" spans="2:33" ht="15" customHeight="1" x14ac:dyDescent="0.3">
      <c r="B47" s="115" t="s">
        <v>118</v>
      </c>
      <c r="C47" s="115" t="s">
        <v>119</v>
      </c>
      <c r="D47" s="116">
        <v>0</v>
      </c>
      <c r="E47" s="22" t="str">
        <f t="shared" si="1"/>
        <v>100,00</v>
      </c>
      <c r="F47" s="24">
        <f t="shared" si="2"/>
        <v>0</v>
      </c>
      <c r="G47" s="22">
        <f t="shared" si="6"/>
        <v>0</v>
      </c>
      <c r="H47" s="118">
        <v>0</v>
      </c>
      <c r="I47" s="115"/>
      <c r="J47" s="8" t="b">
        <f>IF(I47="",FALSE,IF(I47="F",3,VLOOKUP(I47,DADOS!$A$4:$B$19,2,0)))</f>
        <v>0</v>
      </c>
      <c r="K47" s="22">
        <f t="shared" si="7"/>
        <v>50</v>
      </c>
      <c r="L47" s="22">
        <f t="shared" si="8"/>
        <v>0</v>
      </c>
      <c r="M47" s="22">
        <f t="shared" si="17"/>
        <v>0</v>
      </c>
      <c r="N47" s="115">
        <v>16</v>
      </c>
      <c r="O47" s="20">
        <f t="shared" si="9"/>
        <v>12</v>
      </c>
      <c r="P47" s="21">
        <f t="shared" si="14"/>
        <v>34.999999999999986</v>
      </c>
      <c r="Q47" s="118">
        <v>0</v>
      </c>
      <c r="R47" s="21">
        <f t="shared" si="10"/>
        <v>0</v>
      </c>
      <c r="S47" s="64">
        <f t="shared" si="15"/>
        <v>0</v>
      </c>
      <c r="T47" s="21">
        <f t="shared" si="4"/>
        <v>34.999999999999986</v>
      </c>
      <c r="U47" s="22" t="str">
        <f t="shared" si="11"/>
        <v>-</v>
      </c>
      <c r="V47" s="22">
        <f t="shared" si="12"/>
        <v>0</v>
      </c>
      <c r="W47" s="39" t="str">
        <f t="shared" si="13"/>
        <v>Velocidade OK</v>
      </c>
      <c r="X47" s="22" t="str">
        <f t="shared" si="5"/>
        <v>-</v>
      </c>
    </row>
    <row r="48" spans="2:33" ht="15" customHeight="1" x14ac:dyDescent="0.3">
      <c r="B48" s="115" t="s">
        <v>119</v>
      </c>
      <c r="C48" s="115" t="s">
        <v>120</v>
      </c>
      <c r="D48" s="116">
        <v>0</v>
      </c>
      <c r="E48" s="22" t="str">
        <f t="shared" si="1"/>
        <v>100,00</v>
      </c>
      <c r="F48" s="24">
        <f t="shared" si="2"/>
        <v>0</v>
      </c>
      <c r="G48" s="22">
        <f t="shared" si="6"/>
        <v>0</v>
      </c>
      <c r="H48" s="118">
        <v>0</v>
      </c>
      <c r="I48" s="115"/>
      <c r="J48" s="8" t="b">
        <f>IF(I48="",FALSE,IF(I48="F",3,VLOOKUP(I48,DADOS!$A$4:$B$19,2,0)))</f>
        <v>0</v>
      </c>
      <c r="K48" s="22">
        <f t="shared" si="7"/>
        <v>50</v>
      </c>
      <c r="L48" s="22">
        <f t="shared" si="8"/>
        <v>0</v>
      </c>
      <c r="M48" s="22">
        <f t="shared" si="17"/>
        <v>0</v>
      </c>
      <c r="N48" s="115">
        <v>16</v>
      </c>
      <c r="O48" s="20">
        <f t="shared" si="9"/>
        <v>12</v>
      </c>
      <c r="P48" s="21">
        <f t="shared" si="14"/>
        <v>34.999999999999986</v>
      </c>
      <c r="Q48" s="118">
        <v>0</v>
      </c>
      <c r="R48" s="21">
        <f t="shared" si="10"/>
        <v>0</v>
      </c>
      <c r="S48" s="64">
        <f t="shared" si="15"/>
        <v>0</v>
      </c>
      <c r="T48" s="21">
        <f t="shared" si="4"/>
        <v>34.999999999999986</v>
      </c>
      <c r="U48" s="22" t="str">
        <f t="shared" si="11"/>
        <v>-</v>
      </c>
      <c r="V48" s="22">
        <f t="shared" si="12"/>
        <v>0</v>
      </c>
      <c r="W48" s="39" t="str">
        <f t="shared" si="13"/>
        <v>Velocidade OK</v>
      </c>
      <c r="X48" s="22" t="str">
        <f t="shared" si="5"/>
        <v>-</v>
      </c>
    </row>
    <row r="49" spans="2:24" ht="15" customHeight="1" x14ac:dyDescent="0.3">
      <c r="B49" s="115" t="s">
        <v>120</v>
      </c>
      <c r="C49" s="115" t="s">
        <v>121</v>
      </c>
      <c r="D49" s="116">
        <v>0</v>
      </c>
      <c r="E49" s="22" t="str">
        <f t="shared" si="1"/>
        <v>100,00</v>
      </c>
      <c r="F49" s="24">
        <f t="shared" si="2"/>
        <v>0</v>
      </c>
      <c r="G49" s="22">
        <f t="shared" si="6"/>
        <v>0</v>
      </c>
      <c r="H49" s="118">
        <v>0</v>
      </c>
      <c r="I49" s="115"/>
      <c r="J49" s="8" t="b">
        <f>IF(I49="",FALSE,IF(I49="F",3,VLOOKUP(I49,DADOS!$A$4:$B$19,2,0)))</f>
        <v>0</v>
      </c>
      <c r="K49" s="22">
        <f t="shared" si="7"/>
        <v>50</v>
      </c>
      <c r="L49" s="22">
        <f t="shared" si="8"/>
        <v>0</v>
      </c>
      <c r="M49" s="22">
        <f t="shared" si="17"/>
        <v>0</v>
      </c>
      <c r="N49" s="115">
        <v>16</v>
      </c>
      <c r="O49" s="20">
        <f t="shared" si="9"/>
        <v>12</v>
      </c>
      <c r="P49" s="21">
        <f t="shared" si="14"/>
        <v>34.999999999999986</v>
      </c>
      <c r="Q49" s="118">
        <v>0</v>
      </c>
      <c r="R49" s="21">
        <f t="shared" si="10"/>
        <v>0</v>
      </c>
      <c r="S49" s="64">
        <f t="shared" si="15"/>
        <v>0</v>
      </c>
      <c r="T49" s="21">
        <f t="shared" si="4"/>
        <v>34.999999999999986</v>
      </c>
      <c r="U49" s="22" t="str">
        <f t="shared" si="11"/>
        <v>-</v>
      </c>
      <c r="V49" s="22">
        <f t="shared" si="12"/>
        <v>0</v>
      </c>
      <c r="W49" s="39" t="str">
        <f t="shared" si="13"/>
        <v>Velocidade OK</v>
      </c>
      <c r="X49" s="22" t="str">
        <f t="shared" si="5"/>
        <v>-</v>
      </c>
    </row>
    <row r="50" spans="2:24" ht="15" customHeight="1" x14ac:dyDescent="0.3">
      <c r="B50" s="115" t="s">
        <v>121</v>
      </c>
      <c r="C50" s="115" t="s">
        <v>122</v>
      </c>
      <c r="D50" s="116">
        <v>0</v>
      </c>
      <c r="E50" s="22" t="str">
        <f t="shared" si="1"/>
        <v>100,00</v>
      </c>
      <c r="F50" s="24">
        <f t="shared" si="2"/>
        <v>0</v>
      </c>
      <c r="G50" s="22">
        <f t="shared" si="6"/>
        <v>0</v>
      </c>
      <c r="H50" s="118">
        <v>0</v>
      </c>
      <c r="I50" s="115"/>
      <c r="J50" s="8" t="b">
        <f>IF(I50="",FALSE,IF(I50="F",3,VLOOKUP(I50,DADOS!$A$4:$B$19,2,0)))</f>
        <v>0</v>
      </c>
      <c r="K50" s="22">
        <f t="shared" si="7"/>
        <v>50</v>
      </c>
      <c r="L50" s="22">
        <f t="shared" si="8"/>
        <v>0</v>
      </c>
      <c r="M50" s="22">
        <f t="shared" si="17"/>
        <v>0</v>
      </c>
      <c r="N50" s="115">
        <v>16</v>
      </c>
      <c r="O50" s="20">
        <f t="shared" si="9"/>
        <v>12</v>
      </c>
      <c r="P50" s="21">
        <f t="shared" si="14"/>
        <v>34.999999999999986</v>
      </c>
      <c r="Q50" s="118">
        <v>0</v>
      </c>
      <c r="R50" s="21">
        <f t="shared" si="10"/>
        <v>0</v>
      </c>
      <c r="S50" s="64">
        <f t="shared" si="15"/>
        <v>0</v>
      </c>
      <c r="T50" s="21">
        <f t="shared" si="4"/>
        <v>34.999999999999986</v>
      </c>
      <c r="U50" s="22" t="str">
        <f t="shared" si="11"/>
        <v>-</v>
      </c>
      <c r="V50" s="22">
        <f t="shared" si="12"/>
        <v>0</v>
      </c>
      <c r="W50" s="39" t="str">
        <f t="shared" si="13"/>
        <v>Velocidade OK</v>
      </c>
      <c r="X50" s="22" t="str">
        <f t="shared" si="5"/>
        <v>-</v>
      </c>
    </row>
    <row r="51" spans="2:24" ht="15" customHeight="1" x14ac:dyDescent="0.3">
      <c r="B51" s="115" t="s">
        <v>122</v>
      </c>
      <c r="C51" s="115" t="s">
        <v>123</v>
      </c>
      <c r="D51" s="116">
        <v>0</v>
      </c>
      <c r="E51" s="22" t="str">
        <f t="shared" si="1"/>
        <v>100,00</v>
      </c>
      <c r="F51" s="24">
        <f t="shared" si="2"/>
        <v>0</v>
      </c>
      <c r="G51" s="22">
        <f t="shared" si="6"/>
        <v>0</v>
      </c>
      <c r="H51" s="118">
        <v>0</v>
      </c>
      <c r="I51" s="115"/>
      <c r="J51" s="8" t="b">
        <f>IF(I51="",FALSE,IF(I51="F",3,VLOOKUP(I51,DADOS!$A$4:$B$19,2,0)))</f>
        <v>0</v>
      </c>
      <c r="K51" s="22">
        <f t="shared" si="7"/>
        <v>50</v>
      </c>
      <c r="L51" s="22">
        <f t="shared" si="8"/>
        <v>0</v>
      </c>
      <c r="M51" s="22">
        <f t="shared" si="17"/>
        <v>0</v>
      </c>
      <c r="N51" s="115">
        <v>16</v>
      </c>
      <c r="O51" s="20">
        <f t="shared" si="9"/>
        <v>12</v>
      </c>
      <c r="P51" s="21">
        <f t="shared" si="14"/>
        <v>34.999999999999986</v>
      </c>
      <c r="Q51" s="118">
        <v>0</v>
      </c>
      <c r="R51" s="21">
        <f t="shared" si="10"/>
        <v>0</v>
      </c>
      <c r="S51" s="64">
        <f t="shared" si="15"/>
        <v>0</v>
      </c>
      <c r="T51" s="21">
        <f t="shared" si="4"/>
        <v>34.999999999999986</v>
      </c>
      <c r="U51" s="22" t="str">
        <f t="shared" si="11"/>
        <v>-</v>
      </c>
      <c r="V51" s="22">
        <f t="shared" si="12"/>
        <v>0</v>
      </c>
      <c r="W51" s="39" t="str">
        <f t="shared" si="13"/>
        <v>Velocidade OK</v>
      </c>
      <c r="X51" s="22" t="str">
        <f t="shared" si="5"/>
        <v>-</v>
      </c>
    </row>
    <row r="52" spans="2:24" ht="15" customHeight="1" x14ac:dyDescent="0.3">
      <c r="B52" s="115" t="s">
        <v>123</v>
      </c>
      <c r="C52" s="115" t="s">
        <v>124</v>
      </c>
      <c r="D52" s="116">
        <v>0</v>
      </c>
      <c r="E52" s="22" t="str">
        <f t="shared" si="1"/>
        <v>100,00</v>
      </c>
      <c r="F52" s="24">
        <f t="shared" si="2"/>
        <v>0</v>
      </c>
      <c r="G52" s="22">
        <f t="shared" si="6"/>
        <v>0</v>
      </c>
      <c r="H52" s="118">
        <v>0</v>
      </c>
      <c r="I52" s="115"/>
      <c r="J52" s="8" t="b">
        <f>IF(I52="",FALSE,IF(I52="F",3,VLOOKUP(I52,DADOS!$A$4:$B$19,2,0)))</f>
        <v>0</v>
      </c>
      <c r="K52" s="22">
        <f t="shared" si="7"/>
        <v>50</v>
      </c>
      <c r="L52" s="22">
        <f t="shared" si="8"/>
        <v>0</v>
      </c>
      <c r="M52" s="22">
        <f t="shared" si="17"/>
        <v>0</v>
      </c>
      <c r="N52" s="115">
        <v>16</v>
      </c>
      <c r="O52" s="20">
        <f t="shared" si="9"/>
        <v>12</v>
      </c>
      <c r="P52" s="21">
        <f t="shared" si="14"/>
        <v>34.999999999999986</v>
      </c>
      <c r="Q52" s="118">
        <v>0</v>
      </c>
      <c r="R52" s="21">
        <f t="shared" si="10"/>
        <v>0</v>
      </c>
      <c r="S52" s="64">
        <f t="shared" si="15"/>
        <v>0</v>
      </c>
      <c r="T52" s="21">
        <f t="shared" si="4"/>
        <v>34.999999999999986</v>
      </c>
      <c r="U52" s="22" t="str">
        <f t="shared" si="11"/>
        <v>-</v>
      </c>
      <c r="V52" s="22">
        <f t="shared" si="12"/>
        <v>0</v>
      </c>
      <c r="W52" s="39" t="str">
        <f t="shared" si="13"/>
        <v>Velocidade OK</v>
      </c>
      <c r="X52" s="22" t="str">
        <f t="shared" si="5"/>
        <v>-</v>
      </c>
    </row>
    <row r="53" spans="2:24" ht="15" customHeight="1" x14ac:dyDescent="0.3">
      <c r="B53" s="113" t="s">
        <v>124</v>
      </c>
      <c r="C53" s="113">
        <v>1</v>
      </c>
      <c r="D53" s="114">
        <v>0</v>
      </c>
      <c r="E53" s="21" t="str">
        <f t="shared" si="1"/>
        <v>100,00</v>
      </c>
      <c r="F53" s="23">
        <f t="shared" si="2"/>
        <v>0</v>
      </c>
      <c r="G53" s="21">
        <f t="shared" si="6"/>
        <v>0</v>
      </c>
      <c r="H53" s="117">
        <v>0</v>
      </c>
      <c r="I53" s="113"/>
      <c r="J53" s="8" t="b">
        <f>IF(I53="",FALSE,IF(I53="F",3,VLOOKUP(I53,DADOS!$A$4:$B$19,2,0)))</f>
        <v>0</v>
      </c>
      <c r="K53" s="21">
        <f t="shared" si="7"/>
        <v>50</v>
      </c>
      <c r="L53" s="21">
        <f t="shared" si="8"/>
        <v>0</v>
      </c>
      <c r="M53" s="21">
        <f t="shared" si="16"/>
        <v>0</v>
      </c>
      <c r="N53" s="113">
        <v>16</v>
      </c>
      <c r="O53" s="8">
        <f t="shared" si="9"/>
        <v>12</v>
      </c>
      <c r="P53" s="21">
        <f t="shared" si="14"/>
        <v>34.999999999999986</v>
      </c>
      <c r="Q53" s="117">
        <v>0</v>
      </c>
      <c r="R53" s="21">
        <f t="shared" si="10"/>
        <v>0</v>
      </c>
      <c r="S53" s="64">
        <f t="shared" si="15"/>
        <v>0</v>
      </c>
      <c r="T53" s="21">
        <f t="shared" si="4"/>
        <v>34.999999999999986</v>
      </c>
      <c r="U53" s="21" t="str">
        <f t="shared" si="11"/>
        <v>-</v>
      </c>
      <c r="V53" s="21">
        <f t="shared" si="12"/>
        <v>0</v>
      </c>
      <c r="W53" s="39" t="str">
        <f t="shared" si="13"/>
        <v>Velocidade OK</v>
      </c>
      <c r="X53" s="22">
        <f t="shared" si="5"/>
        <v>34.999999999999986</v>
      </c>
    </row>
    <row r="54" spans="2:24" ht="15" customHeight="1" x14ac:dyDescent="0.4">
      <c r="B54" s="53"/>
      <c r="C54" s="53"/>
      <c r="D54" s="55"/>
      <c r="E54" s="54"/>
      <c r="F54" s="54"/>
      <c r="G54" s="56"/>
      <c r="H54" s="54"/>
      <c r="I54" s="54"/>
      <c r="J54" s="54"/>
      <c r="K54" s="54"/>
      <c r="L54" s="54"/>
      <c r="M54" s="57"/>
      <c r="N54" s="57"/>
      <c r="O54" s="57"/>
      <c r="P54" s="58"/>
      <c r="Q54" s="59"/>
      <c r="R54" s="59"/>
      <c r="S54" s="59"/>
      <c r="T54" s="59"/>
      <c r="U54" s="59"/>
      <c r="V54" s="59"/>
      <c r="W54" s="59"/>
    </row>
    <row r="55" spans="2:24" ht="19.95" customHeight="1" x14ac:dyDescent="0.3">
      <c r="B55" s="25" t="s">
        <v>126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2:24" ht="15" customHeight="1" x14ac:dyDescent="0.3"/>
    <row r="57" spans="2:24" ht="15" customHeight="1" x14ac:dyDescent="0.3">
      <c r="B57" s="92" t="s">
        <v>129</v>
      </c>
      <c r="C57" s="92"/>
      <c r="D57" s="27" t="str">
        <f>F57&amp;" KPA"</f>
        <v>0,22 KPA</v>
      </c>
      <c r="F57" s="28">
        <f>S59*0.1</f>
        <v>0.22000000000000003</v>
      </c>
      <c r="H57" s="92" t="s">
        <v>131</v>
      </c>
      <c r="I57" s="92"/>
      <c r="M57" s="29">
        <f>P62-F57</f>
        <v>1.9800000000000002</v>
      </c>
    </row>
    <row r="58" spans="2:24" ht="15" customHeight="1" thickBot="1" x14ac:dyDescent="0.35"/>
    <row r="59" spans="2:24" ht="15" customHeight="1" thickTop="1" x14ac:dyDescent="0.3">
      <c r="I59" s="35" t="s">
        <v>127</v>
      </c>
      <c r="J59" s="36"/>
      <c r="K59" s="36"/>
      <c r="L59" s="36"/>
      <c r="M59" s="36"/>
      <c r="N59" s="36"/>
      <c r="O59" s="36"/>
      <c r="P59" s="36"/>
      <c r="Q59" s="37"/>
      <c r="S59" s="121">
        <v>2.2000000000000002</v>
      </c>
      <c r="T59" s="34" t="s">
        <v>128</v>
      </c>
    </row>
    <row r="60" spans="2:24" ht="45" customHeight="1" x14ac:dyDescent="0.3">
      <c r="B60" s="10" t="s">
        <v>5</v>
      </c>
      <c r="C60" s="11" t="s">
        <v>47</v>
      </c>
      <c r="D60" s="11" t="s">
        <v>140</v>
      </c>
      <c r="E60" s="12" t="s">
        <v>141</v>
      </c>
      <c r="F60" s="12" t="s">
        <v>142</v>
      </c>
      <c r="G60" s="11" t="s">
        <v>138</v>
      </c>
      <c r="H60" s="11" t="s">
        <v>143</v>
      </c>
      <c r="I60" s="13" t="s">
        <v>49</v>
      </c>
      <c r="J60" s="18" t="s">
        <v>144</v>
      </c>
      <c r="K60" s="18" t="s">
        <v>93</v>
      </c>
      <c r="L60" s="18" t="s">
        <v>145</v>
      </c>
      <c r="M60" s="17" t="s">
        <v>146</v>
      </c>
      <c r="N60" s="17" t="s">
        <v>147</v>
      </c>
      <c r="O60" s="18" t="s">
        <v>148</v>
      </c>
      <c r="P60" s="17" t="s">
        <v>149</v>
      </c>
      <c r="Q60" s="17" t="s">
        <v>156</v>
      </c>
      <c r="R60" s="18" t="s">
        <v>150</v>
      </c>
      <c r="S60" s="17" t="s">
        <v>151</v>
      </c>
      <c r="T60" s="17" t="s">
        <v>152</v>
      </c>
      <c r="U60" s="18" t="s">
        <v>151</v>
      </c>
      <c r="V60" s="17" t="s">
        <v>103</v>
      </c>
      <c r="W60" s="17" t="s">
        <v>104</v>
      </c>
      <c r="X60" s="17" t="s">
        <v>105</v>
      </c>
    </row>
    <row r="61" spans="2:24" ht="15" customHeight="1" x14ac:dyDescent="0.3">
      <c r="B61" s="113" t="s">
        <v>153</v>
      </c>
      <c r="C61" s="113" t="s">
        <v>7</v>
      </c>
      <c r="D61" s="114">
        <v>0</v>
      </c>
      <c r="E61" s="21">
        <f>E62</f>
        <v>100</v>
      </c>
      <c r="F61" s="23">
        <f t="shared" ref="F61:F70" si="18">(D61*E61)/100</f>
        <v>0</v>
      </c>
      <c r="G61" s="21">
        <f>(F61/8600)</f>
        <v>0</v>
      </c>
      <c r="H61" s="117">
        <v>0</v>
      </c>
      <c r="I61" s="113"/>
      <c r="J61" s="8" t="b">
        <f>IF(I61="",FALSE,IF(I61="F",3,VLOOKUP(I61,DADOS!$A$4:$B$19,2,0)))</f>
        <v>0</v>
      </c>
      <c r="K61" s="21">
        <f t="shared" ref="K61:K70" si="19">IF(V61&gt;0,0.316*((O61*V61)/(1000*0.0000157))^-0.25,50)</f>
        <v>50</v>
      </c>
      <c r="L61" s="21">
        <f t="shared" ref="L61:L70" si="20">J61*O61/(1000*K61)</f>
        <v>0</v>
      </c>
      <c r="M61" s="21">
        <f t="shared" ref="M61:M70" si="21">SUM(H61+L61)</f>
        <v>0</v>
      </c>
      <c r="N61" s="113">
        <v>16</v>
      </c>
      <c r="O61" s="8" t="str">
        <f t="shared" ref="O61" si="22">IF(N61=16,"12",IF(N61=20,"16",IF(N61=26,"20",IF(N61=32,"26"))))</f>
        <v>12</v>
      </c>
      <c r="P61" s="21">
        <f>S59</f>
        <v>2.2000000000000002</v>
      </c>
      <c r="Q61" s="117">
        <v>0</v>
      </c>
      <c r="R61" s="21">
        <f t="shared" ref="R61" si="23">Q61/2</f>
        <v>0</v>
      </c>
      <c r="S61" s="64">
        <f>(2029.06*G61^1.8*0.6^0.8*M61)/O61^4.8</f>
        <v>0</v>
      </c>
      <c r="T61" s="21">
        <f t="shared" ref="T61" si="24">(P61-S61)+R61</f>
        <v>2.2000000000000002</v>
      </c>
      <c r="U61" s="21" t="e">
        <f t="shared" ref="U61" si="25">(S61 - R61)/M61</f>
        <v>#DIV/0!</v>
      </c>
      <c r="V61" s="21">
        <f>354*G61/((P61/100+1.033)*O61^2)</f>
        <v>0</v>
      </c>
      <c r="W61" s="39" t="str">
        <f t="shared" ref="W61:W70" si="26">IF(V61&gt;20,"Recalcular Diâmetro",IF(V61&lt;20,"Velocidade OK"))</f>
        <v>Velocidade OK</v>
      </c>
      <c r="X61" s="38"/>
    </row>
    <row r="62" spans="2:24" ht="15" customHeight="1" x14ac:dyDescent="0.3">
      <c r="B62" s="113" t="s">
        <v>7</v>
      </c>
      <c r="C62" s="113" t="s">
        <v>21</v>
      </c>
      <c r="D62" s="114">
        <v>0</v>
      </c>
      <c r="E62" s="21">
        <v>100</v>
      </c>
      <c r="F62" s="23">
        <f t="shared" si="18"/>
        <v>0</v>
      </c>
      <c r="G62" s="21">
        <f>(F62/8600)</f>
        <v>0</v>
      </c>
      <c r="H62" s="117">
        <v>0</v>
      </c>
      <c r="I62" s="113"/>
      <c r="J62" s="8" t="b">
        <f>IF(I62="",FALSE,IF(I62="F",3,VLOOKUP(I62,DADOS!$A$4:$B$19,2,0)))</f>
        <v>0</v>
      </c>
      <c r="K62" s="21">
        <f t="shared" si="19"/>
        <v>50</v>
      </c>
      <c r="L62" s="21">
        <f t="shared" si="20"/>
        <v>0</v>
      </c>
      <c r="M62" s="21">
        <f t="shared" si="21"/>
        <v>0</v>
      </c>
      <c r="N62" s="113">
        <v>16</v>
      </c>
      <c r="O62" s="8">
        <f t="shared" ref="O62:O70" si="27">IF(N62=16,12,IF(N62=20,16,IF(N62=26,20,IF(N62=32,26,IF(N62=40,32,IF(N62=50,41,IF(N62=63,51,"")))))))</f>
        <v>12</v>
      </c>
      <c r="P62" s="21">
        <f>S59</f>
        <v>2.2000000000000002</v>
      </c>
      <c r="Q62" s="117">
        <v>0</v>
      </c>
      <c r="R62" s="21">
        <f>-1.318*10^-2*Q62*(0.6-1)</f>
        <v>0</v>
      </c>
      <c r="S62" s="64">
        <f>(2029.06*G62^1.8*0.6^0.8*M62)/O62^4.8+S61-R62</f>
        <v>0</v>
      </c>
      <c r="T62" s="21">
        <f>IFERROR((P62-S62),"-")</f>
        <v>2.2000000000000002</v>
      </c>
      <c r="U62" s="21" t="str">
        <f>IFERROR((S62 - R62)/M62,"-")</f>
        <v>-</v>
      </c>
      <c r="V62" s="21">
        <f>354*G62/O62^2</f>
        <v>0</v>
      </c>
      <c r="W62" s="39" t="str">
        <f t="shared" si="26"/>
        <v>Velocidade OK</v>
      </c>
      <c r="X62" s="21" t="str">
        <f t="shared" ref="X62:X70" si="28">IF(C62&lt;1000,T62,"-")</f>
        <v>-</v>
      </c>
    </row>
    <row r="63" spans="2:24" ht="15" customHeight="1" x14ac:dyDescent="0.3">
      <c r="B63" s="113" t="s">
        <v>21</v>
      </c>
      <c r="C63" s="113" t="s">
        <v>22</v>
      </c>
      <c r="D63" s="114">
        <v>0</v>
      </c>
      <c r="E63" s="21">
        <v>100</v>
      </c>
      <c r="F63" s="23">
        <f t="shared" si="18"/>
        <v>0</v>
      </c>
      <c r="G63" s="21">
        <f t="shared" ref="G63:G70" si="29">(F63/8600)</f>
        <v>0</v>
      </c>
      <c r="H63" s="117">
        <v>0</v>
      </c>
      <c r="I63" s="113"/>
      <c r="J63" s="8" t="b">
        <f>IF(I63="",FALSE,IF(I63="F",3,VLOOKUP(I63,DADOS!$A$4:$B$19,2,0)))</f>
        <v>0</v>
      </c>
      <c r="K63" s="21">
        <f t="shared" si="19"/>
        <v>50</v>
      </c>
      <c r="L63" s="21">
        <f t="shared" si="20"/>
        <v>0</v>
      </c>
      <c r="M63" s="21">
        <f t="shared" si="21"/>
        <v>0</v>
      </c>
      <c r="N63" s="113">
        <v>16</v>
      </c>
      <c r="O63" s="8">
        <f t="shared" si="27"/>
        <v>12</v>
      </c>
      <c r="P63" s="21">
        <f>IFERROR(VLOOKUP(B63,$C$62:$W$70,18,FALSE),"-")</f>
        <v>2.2000000000000002</v>
      </c>
      <c r="Q63" s="117">
        <v>0</v>
      </c>
      <c r="R63" s="21">
        <f t="shared" ref="R63:R70" si="30">-1.318*10^-2*Q63*(0.6-1)</f>
        <v>0</v>
      </c>
      <c r="S63" s="64">
        <f>(2029.06*G63^1.8*0.6^0.8*M63)/O63^4.8-R63</f>
        <v>0</v>
      </c>
      <c r="T63" s="21">
        <f>IFERROR((P63-S63),"-")</f>
        <v>2.2000000000000002</v>
      </c>
      <c r="U63" s="21" t="str">
        <f t="shared" ref="U63:U70" si="31">IFERROR((S63 - R63)/M63,"-")</f>
        <v>-</v>
      </c>
      <c r="V63" s="21">
        <f t="shared" ref="V63:V70" si="32">354*G63/O63^2</f>
        <v>0</v>
      </c>
      <c r="W63" s="39" t="str">
        <f t="shared" si="26"/>
        <v>Velocidade OK</v>
      </c>
      <c r="X63" s="21" t="str">
        <f t="shared" si="28"/>
        <v>-</v>
      </c>
    </row>
    <row r="64" spans="2:24" ht="15" customHeight="1" x14ac:dyDescent="0.3">
      <c r="B64" s="113" t="s">
        <v>22</v>
      </c>
      <c r="C64" s="113" t="s">
        <v>23</v>
      </c>
      <c r="D64" s="114">
        <v>0</v>
      </c>
      <c r="E64" s="21">
        <v>100</v>
      </c>
      <c r="F64" s="23">
        <f t="shared" si="18"/>
        <v>0</v>
      </c>
      <c r="G64" s="21">
        <f t="shared" si="29"/>
        <v>0</v>
      </c>
      <c r="H64" s="117">
        <v>0</v>
      </c>
      <c r="I64" s="113"/>
      <c r="J64" s="8" t="b">
        <f>IF(I64="",FALSE,IF(I64="F",3,VLOOKUP(I64,DADOS!$A$4:$B$19,2,0)))</f>
        <v>0</v>
      </c>
      <c r="K64" s="21">
        <f t="shared" si="19"/>
        <v>50</v>
      </c>
      <c r="L64" s="21">
        <f t="shared" si="20"/>
        <v>0</v>
      </c>
      <c r="M64" s="21">
        <f t="shared" si="21"/>
        <v>0</v>
      </c>
      <c r="N64" s="113">
        <v>16</v>
      </c>
      <c r="O64" s="8">
        <f t="shared" si="27"/>
        <v>12</v>
      </c>
      <c r="P64" s="21">
        <f t="shared" ref="P64:P70" si="33">IFERROR(VLOOKUP(B64,$C$62:$W$70,18,FALSE),"-")</f>
        <v>2.2000000000000002</v>
      </c>
      <c r="Q64" s="117">
        <v>0</v>
      </c>
      <c r="R64" s="21">
        <f t="shared" si="30"/>
        <v>0</v>
      </c>
      <c r="S64" s="64">
        <f t="shared" ref="S64:S70" si="34">(2029.06*G64^1.8*0.6^0.8*M64)/O64^4.8-R64</f>
        <v>0</v>
      </c>
      <c r="T64" s="21">
        <f t="shared" ref="T64:T70" si="35">IFERROR((P64-S64),"-")</f>
        <v>2.2000000000000002</v>
      </c>
      <c r="U64" s="21" t="str">
        <f t="shared" si="31"/>
        <v>-</v>
      </c>
      <c r="V64" s="21">
        <f t="shared" si="32"/>
        <v>0</v>
      </c>
      <c r="W64" s="39" t="str">
        <f t="shared" si="26"/>
        <v>Velocidade OK</v>
      </c>
      <c r="X64" s="21" t="str">
        <f t="shared" si="28"/>
        <v>-</v>
      </c>
    </row>
    <row r="65" spans="2:28" ht="15" customHeight="1" x14ac:dyDescent="0.3">
      <c r="B65" s="113" t="s">
        <v>23</v>
      </c>
      <c r="C65" s="113" t="s">
        <v>24</v>
      </c>
      <c r="D65" s="114">
        <v>0</v>
      </c>
      <c r="E65" s="21">
        <v>100</v>
      </c>
      <c r="F65" s="23">
        <f t="shared" si="18"/>
        <v>0</v>
      </c>
      <c r="G65" s="21">
        <f t="shared" si="29"/>
        <v>0</v>
      </c>
      <c r="H65" s="117">
        <v>0</v>
      </c>
      <c r="I65" s="113"/>
      <c r="J65" s="8" t="b">
        <f>IF(I65="",FALSE,IF(I65="F",3,VLOOKUP(I65,DADOS!$A$4:$B$19,2,0)))</f>
        <v>0</v>
      </c>
      <c r="K65" s="21">
        <f t="shared" si="19"/>
        <v>50</v>
      </c>
      <c r="L65" s="21">
        <f t="shared" si="20"/>
        <v>0</v>
      </c>
      <c r="M65" s="21">
        <f t="shared" si="21"/>
        <v>0</v>
      </c>
      <c r="N65" s="113">
        <v>16</v>
      </c>
      <c r="O65" s="8">
        <f t="shared" si="27"/>
        <v>12</v>
      </c>
      <c r="P65" s="21">
        <f t="shared" si="33"/>
        <v>2.2000000000000002</v>
      </c>
      <c r="Q65" s="117">
        <v>0</v>
      </c>
      <c r="R65" s="21">
        <f t="shared" si="30"/>
        <v>0</v>
      </c>
      <c r="S65" s="64">
        <f t="shared" si="34"/>
        <v>0</v>
      </c>
      <c r="T65" s="21">
        <f t="shared" si="35"/>
        <v>2.2000000000000002</v>
      </c>
      <c r="U65" s="21" t="str">
        <f t="shared" si="31"/>
        <v>-</v>
      </c>
      <c r="V65" s="21">
        <f t="shared" si="32"/>
        <v>0</v>
      </c>
      <c r="W65" s="39" t="str">
        <f t="shared" si="26"/>
        <v>Velocidade OK</v>
      </c>
      <c r="X65" s="21" t="str">
        <f t="shared" si="28"/>
        <v>-</v>
      </c>
    </row>
    <row r="66" spans="2:28" ht="15" customHeight="1" x14ac:dyDescent="0.3">
      <c r="B66" s="113" t="s">
        <v>24</v>
      </c>
      <c r="C66" s="113" t="s">
        <v>25</v>
      </c>
      <c r="D66" s="114">
        <v>0</v>
      </c>
      <c r="E66" s="21">
        <v>100</v>
      </c>
      <c r="F66" s="23">
        <f t="shared" si="18"/>
        <v>0</v>
      </c>
      <c r="G66" s="21">
        <f t="shared" si="29"/>
        <v>0</v>
      </c>
      <c r="H66" s="117">
        <v>0</v>
      </c>
      <c r="I66" s="113"/>
      <c r="J66" s="8" t="b">
        <f>IF(I66="",FALSE,IF(I66="F",3,VLOOKUP(I66,DADOS!$A$4:$B$19,2,0)))</f>
        <v>0</v>
      </c>
      <c r="K66" s="21">
        <f t="shared" si="19"/>
        <v>50</v>
      </c>
      <c r="L66" s="21">
        <f t="shared" si="20"/>
        <v>0</v>
      </c>
      <c r="M66" s="21">
        <f t="shared" si="21"/>
        <v>0</v>
      </c>
      <c r="N66" s="113">
        <v>16</v>
      </c>
      <c r="O66" s="8">
        <f t="shared" si="27"/>
        <v>12</v>
      </c>
      <c r="P66" s="21">
        <f t="shared" si="33"/>
        <v>2.2000000000000002</v>
      </c>
      <c r="Q66" s="117">
        <v>0</v>
      </c>
      <c r="R66" s="21">
        <f t="shared" si="30"/>
        <v>0</v>
      </c>
      <c r="S66" s="64">
        <f t="shared" si="34"/>
        <v>0</v>
      </c>
      <c r="T66" s="21">
        <f t="shared" si="35"/>
        <v>2.2000000000000002</v>
      </c>
      <c r="U66" s="21" t="str">
        <f t="shared" si="31"/>
        <v>-</v>
      </c>
      <c r="V66" s="21">
        <f t="shared" si="32"/>
        <v>0</v>
      </c>
      <c r="W66" s="39" t="str">
        <f t="shared" si="26"/>
        <v>Velocidade OK</v>
      </c>
      <c r="X66" s="21" t="str">
        <f t="shared" si="28"/>
        <v>-</v>
      </c>
    </row>
    <row r="67" spans="2:28" ht="15" customHeight="1" x14ac:dyDescent="0.3">
      <c r="B67" s="113" t="s">
        <v>25</v>
      </c>
      <c r="C67" s="113" t="s">
        <v>26</v>
      </c>
      <c r="D67" s="114">
        <v>0</v>
      </c>
      <c r="E67" s="21">
        <v>100</v>
      </c>
      <c r="F67" s="23">
        <f t="shared" si="18"/>
        <v>0</v>
      </c>
      <c r="G67" s="21">
        <f t="shared" si="29"/>
        <v>0</v>
      </c>
      <c r="H67" s="117">
        <v>0</v>
      </c>
      <c r="I67" s="113"/>
      <c r="J67" s="8" t="b">
        <f>IF(I67="",FALSE,IF(I67="F",3,VLOOKUP(I67,DADOS!$A$4:$B$19,2,0)))</f>
        <v>0</v>
      </c>
      <c r="K67" s="21">
        <f t="shared" si="19"/>
        <v>50</v>
      </c>
      <c r="L67" s="21">
        <f t="shared" si="20"/>
        <v>0</v>
      </c>
      <c r="M67" s="21">
        <f t="shared" si="21"/>
        <v>0</v>
      </c>
      <c r="N67" s="113">
        <v>16</v>
      </c>
      <c r="O67" s="8">
        <f t="shared" si="27"/>
        <v>12</v>
      </c>
      <c r="P67" s="21">
        <f t="shared" si="33"/>
        <v>2.2000000000000002</v>
      </c>
      <c r="Q67" s="117">
        <v>0</v>
      </c>
      <c r="R67" s="21">
        <f t="shared" si="30"/>
        <v>0</v>
      </c>
      <c r="S67" s="64">
        <f t="shared" si="34"/>
        <v>0</v>
      </c>
      <c r="T67" s="21">
        <f t="shared" si="35"/>
        <v>2.2000000000000002</v>
      </c>
      <c r="U67" s="21" t="str">
        <f t="shared" si="31"/>
        <v>-</v>
      </c>
      <c r="V67" s="21">
        <f t="shared" si="32"/>
        <v>0</v>
      </c>
      <c r="W67" s="39" t="str">
        <f t="shared" si="26"/>
        <v>Velocidade OK</v>
      </c>
      <c r="X67" s="21" t="str">
        <f t="shared" si="28"/>
        <v>-</v>
      </c>
      <c r="Y67" s="60"/>
    </row>
    <row r="68" spans="2:28" ht="15" customHeight="1" x14ac:dyDescent="0.3">
      <c r="B68" s="113" t="s">
        <v>26</v>
      </c>
      <c r="C68" s="113" t="s">
        <v>27</v>
      </c>
      <c r="D68" s="114">
        <v>0</v>
      </c>
      <c r="E68" s="21">
        <v>100</v>
      </c>
      <c r="F68" s="23">
        <f t="shared" si="18"/>
        <v>0</v>
      </c>
      <c r="G68" s="21">
        <f t="shared" si="29"/>
        <v>0</v>
      </c>
      <c r="H68" s="117">
        <v>0</v>
      </c>
      <c r="I68" s="113"/>
      <c r="J68" s="8" t="b">
        <f>IF(I68="",FALSE,IF(I68="F",3,VLOOKUP(I68,DADOS!$A$4:$B$19,2,0)))</f>
        <v>0</v>
      </c>
      <c r="K68" s="21">
        <f t="shared" si="19"/>
        <v>50</v>
      </c>
      <c r="L68" s="21">
        <f t="shared" si="20"/>
        <v>0</v>
      </c>
      <c r="M68" s="21">
        <f t="shared" si="21"/>
        <v>0</v>
      </c>
      <c r="N68" s="113">
        <v>16</v>
      </c>
      <c r="O68" s="8">
        <f t="shared" si="27"/>
        <v>12</v>
      </c>
      <c r="P68" s="21">
        <f t="shared" si="33"/>
        <v>2.2000000000000002</v>
      </c>
      <c r="Q68" s="117">
        <v>0</v>
      </c>
      <c r="R68" s="21">
        <f t="shared" si="30"/>
        <v>0</v>
      </c>
      <c r="S68" s="64">
        <f t="shared" si="34"/>
        <v>0</v>
      </c>
      <c r="T68" s="21">
        <f t="shared" si="35"/>
        <v>2.2000000000000002</v>
      </c>
      <c r="U68" s="21" t="str">
        <f t="shared" si="31"/>
        <v>-</v>
      </c>
      <c r="V68" s="21">
        <f t="shared" si="32"/>
        <v>0</v>
      </c>
      <c r="W68" s="39" t="str">
        <f t="shared" si="26"/>
        <v>Velocidade OK</v>
      </c>
      <c r="X68" s="21" t="str">
        <f t="shared" si="28"/>
        <v>-</v>
      </c>
    </row>
    <row r="69" spans="2:28" ht="15" customHeight="1" x14ac:dyDescent="0.3">
      <c r="B69" s="113" t="s">
        <v>27</v>
      </c>
      <c r="C69" s="113" t="s">
        <v>28</v>
      </c>
      <c r="D69" s="114">
        <v>0</v>
      </c>
      <c r="E69" s="21">
        <v>100</v>
      </c>
      <c r="F69" s="23">
        <f t="shared" si="18"/>
        <v>0</v>
      </c>
      <c r="G69" s="21">
        <f t="shared" si="29"/>
        <v>0</v>
      </c>
      <c r="H69" s="117">
        <v>0</v>
      </c>
      <c r="I69" s="113"/>
      <c r="J69" s="8" t="b">
        <f>IF(I69="",FALSE,IF(I69="F",3,VLOOKUP(I69,DADOS!$A$4:$B$19,2,0)))</f>
        <v>0</v>
      </c>
      <c r="K69" s="21">
        <f t="shared" si="19"/>
        <v>50</v>
      </c>
      <c r="L69" s="21">
        <f t="shared" si="20"/>
        <v>0</v>
      </c>
      <c r="M69" s="21">
        <f t="shared" si="21"/>
        <v>0</v>
      </c>
      <c r="N69" s="113">
        <v>16</v>
      </c>
      <c r="O69" s="8">
        <f t="shared" si="27"/>
        <v>12</v>
      </c>
      <c r="P69" s="21">
        <f t="shared" si="33"/>
        <v>2.2000000000000002</v>
      </c>
      <c r="Q69" s="117">
        <v>0</v>
      </c>
      <c r="R69" s="21">
        <f t="shared" si="30"/>
        <v>0</v>
      </c>
      <c r="S69" s="64">
        <f t="shared" si="34"/>
        <v>0</v>
      </c>
      <c r="T69" s="21">
        <f t="shared" si="35"/>
        <v>2.2000000000000002</v>
      </c>
      <c r="U69" s="21" t="str">
        <f t="shared" si="31"/>
        <v>-</v>
      </c>
      <c r="V69" s="21">
        <f t="shared" si="32"/>
        <v>0</v>
      </c>
      <c r="W69" s="39" t="str">
        <f t="shared" si="26"/>
        <v>Velocidade OK</v>
      </c>
      <c r="X69" s="21" t="str">
        <f t="shared" si="28"/>
        <v>-</v>
      </c>
    </row>
    <row r="70" spans="2:28" ht="15" customHeight="1" x14ac:dyDescent="0.3">
      <c r="B70" s="113" t="s">
        <v>28</v>
      </c>
      <c r="C70" s="113" t="s">
        <v>29</v>
      </c>
      <c r="D70" s="114">
        <v>0</v>
      </c>
      <c r="E70" s="21">
        <v>100</v>
      </c>
      <c r="F70" s="23">
        <f t="shared" si="18"/>
        <v>0</v>
      </c>
      <c r="G70" s="21">
        <f t="shared" si="29"/>
        <v>0</v>
      </c>
      <c r="H70" s="117">
        <v>0</v>
      </c>
      <c r="I70" s="113"/>
      <c r="J70" s="8" t="b">
        <f>IF(I70="",FALSE,IF(I70="F",3,VLOOKUP(I70,DADOS!$A$4:$B$19,2,0)))</f>
        <v>0</v>
      </c>
      <c r="K70" s="21">
        <f t="shared" si="19"/>
        <v>50</v>
      </c>
      <c r="L70" s="21">
        <f t="shared" si="20"/>
        <v>0</v>
      </c>
      <c r="M70" s="21">
        <f t="shared" si="21"/>
        <v>0</v>
      </c>
      <c r="N70" s="113">
        <v>16</v>
      </c>
      <c r="O70" s="8">
        <f t="shared" si="27"/>
        <v>12</v>
      </c>
      <c r="P70" s="21">
        <f t="shared" si="33"/>
        <v>2.2000000000000002</v>
      </c>
      <c r="Q70" s="117">
        <v>0</v>
      </c>
      <c r="R70" s="21">
        <f t="shared" si="30"/>
        <v>0</v>
      </c>
      <c r="S70" s="64">
        <f t="shared" si="34"/>
        <v>0</v>
      </c>
      <c r="T70" s="21">
        <f t="shared" si="35"/>
        <v>2.2000000000000002</v>
      </c>
      <c r="U70" s="21" t="str">
        <f t="shared" si="31"/>
        <v>-</v>
      </c>
      <c r="V70" s="21">
        <f t="shared" si="32"/>
        <v>0</v>
      </c>
      <c r="W70" s="39" t="str">
        <f t="shared" si="26"/>
        <v>Velocidade OK</v>
      </c>
      <c r="X70" s="21" t="str">
        <f t="shared" si="28"/>
        <v>-</v>
      </c>
    </row>
    <row r="71" spans="2:28" ht="15" customHeight="1" x14ac:dyDescent="0.3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</row>
    <row r="72" spans="2:28" x14ac:dyDescent="0.3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</row>
    <row r="73" spans="2:28" hidden="1" x14ac:dyDescent="0.3"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</row>
    <row r="74" spans="2:28" hidden="1" x14ac:dyDescent="0.3">
      <c r="B74" s="53"/>
      <c r="C74" s="53"/>
      <c r="D74" s="40" t="s">
        <v>50</v>
      </c>
      <c r="E74" s="40">
        <v>9000</v>
      </c>
      <c r="F74" s="40"/>
      <c r="G74" s="40"/>
      <c r="H74" s="40"/>
      <c r="I74" s="40">
        <v>9000</v>
      </c>
      <c r="J74" s="53"/>
      <c r="K74" s="53"/>
      <c r="L74" s="53"/>
      <c r="M74" s="53"/>
      <c r="N74" s="53"/>
      <c r="O74" s="53"/>
      <c r="P74" s="53"/>
    </row>
    <row r="75" spans="2:28" hidden="1" x14ac:dyDescent="0.3">
      <c r="B75" s="53"/>
      <c r="C75" s="53"/>
      <c r="D75" s="40" t="s">
        <v>51</v>
      </c>
      <c r="E75" s="40">
        <v>12000</v>
      </c>
      <c r="F75" s="40"/>
      <c r="G75" s="40"/>
      <c r="H75" s="40"/>
      <c r="I75" s="40">
        <v>11500</v>
      </c>
      <c r="J75" s="53"/>
      <c r="K75" s="53"/>
      <c r="L75" s="53"/>
      <c r="M75" s="53"/>
      <c r="N75" s="53"/>
      <c r="O75" s="53"/>
      <c r="P75" s="53"/>
    </row>
    <row r="76" spans="2:28" hidden="1" x14ac:dyDescent="0.3">
      <c r="B76" s="53"/>
      <c r="C76" s="53"/>
      <c r="D76" s="40" t="s">
        <v>52</v>
      </c>
      <c r="E76" s="40">
        <v>12000</v>
      </c>
      <c r="F76" s="40"/>
      <c r="G76" s="40"/>
      <c r="H76" s="40"/>
      <c r="I76" s="40">
        <v>12000</v>
      </c>
      <c r="J76" s="53"/>
      <c r="K76" s="53"/>
      <c r="L76" s="53"/>
      <c r="M76" s="53"/>
      <c r="N76" s="53"/>
      <c r="O76" s="53"/>
      <c r="P76" s="53"/>
    </row>
    <row r="77" spans="2:28" ht="18" hidden="1" x14ac:dyDescent="0.35">
      <c r="B77" s="53"/>
      <c r="C77" s="53"/>
      <c r="D77" s="40" t="s">
        <v>53</v>
      </c>
      <c r="E77" s="40">
        <v>15000</v>
      </c>
      <c r="F77" s="40"/>
      <c r="G77" s="40"/>
      <c r="H77" s="40"/>
      <c r="I77" s="40">
        <v>15000</v>
      </c>
      <c r="J77" s="53"/>
      <c r="K77" s="53"/>
      <c r="L77" s="53"/>
      <c r="M77" s="53"/>
      <c r="N77" s="53"/>
      <c r="O77" s="53"/>
      <c r="P77" s="53"/>
      <c r="S77" s="62"/>
      <c r="T77" s="3"/>
      <c r="U77" s="3"/>
      <c r="V77" s="3"/>
      <c r="W77" s="3"/>
      <c r="X77" s="3"/>
      <c r="Y77" s="3"/>
      <c r="Z77" s="3"/>
      <c r="AA77" s="3"/>
      <c r="AB77" s="3"/>
    </row>
    <row r="78" spans="2:28" ht="15.6" hidden="1" x14ac:dyDescent="0.3">
      <c r="B78" s="53"/>
      <c r="C78" s="53"/>
      <c r="D78" s="40" t="s">
        <v>54</v>
      </c>
      <c r="E78" s="40">
        <v>18000</v>
      </c>
      <c r="F78" s="40"/>
      <c r="G78" s="40"/>
      <c r="H78" s="40"/>
      <c r="I78" s="40">
        <v>18000</v>
      </c>
      <c r="J78" s="53"/>
      <c r="K78" s="53"/>
      <c r="L78" s="53"/>
      <c r="M78" s="53"/>
      <c r="N78" s="53"/>
      <c r="O78" s="53"/>
      <c r="P78" s="53"/>
      <c r="S78" s="61"/>
      <c r="T78" s="61"/>
      <c r="U78" s="61"/>
      <c r="V78" s="61"/>
      <c r="W78" s="61"/>
      <c r="X78" s="61"/>
      <c r="Y78" s="61"/>
      <c r="Z78" s="61"/>
      <c r="AA78" s="61"/>
      <c r="AB78" s="61"/>
    </row>
    <row r="79" spans="2:28" ht="15.6" hidden="1" x14ac:dyDescent="0.3">
      <c r="B79" s="53"/>
      <c r="C79" s="53"/>
      <c r="D79" s="40" t="s">
        <v>55</v>
      </c>
      <c r="E79" s="40">
        <v>18000</v>
      </c>
      <c r="F79" s="40"/>
      <c r="G79" s="40"/>
      <c r="H79" s="40"/>
      <c r="I79" s="40">
        <v>19000</v>
      </c>
      <c r="J79" s="53"/>
      <c r="K79" s="53"/>
      <c r="L79" s="53"/>
      <c r="M79" s="53"/>
      <c r="N79" s="53"/>
      <c r="O79" s="53"/>
      <c r="P79" s="53"/>
      <c r="S79" s="61"/>
      <c r="T79" s="61"/>
      <c r="U79" s="61"/>
      <c r="V79" s="61"/>
      <c r="W79" s="61"/>
      <c r="X79" s="61"/>
      <c r="Y79" s="61"/>
      <c r="Z79" s="61"/>
      <c r="AA79" s="61"/>
      <c r="AB79" s="61"/>
    </row>
    <row r="80" spans="2:28" ht="15.6" hidden="1" x14ac:dyDescent="0.3">
      <c r="B80" s="53"/>
      <c r="C80" s="53"/>
      <c r="D80" s="40" t="s">
        <v>56</v>
      </c>
      <c r="E80" s="40">
        <v>22500</v>
      </c>
      <c r="F80" s="40"/>
      <c r="G80" s="40"/>
      <c r="H80" s="40"/>
      <c r="I80" s="40">
        <v>22000</v>
      </c>
      <c r="J80" s="53"/>
      <c r="K80" s="53"/>
      <c r="L80" s="53"/>
      <c r="M80" s="53"/>
      <c r="N80" s="53"/>
      <c r="O80" s="53"/>
      <c r="P80" s="53"/>
      <c r="S80" s="61"/>
      <c r="T80" s="61"/>
      <c r="U80" s="61"/>
      <c r="V80" s="61"/>
      <c r="W80" s="61"/>
      <c r="X80" s="61"/>
      <c r="Y80" s="61"/>
      <c r="Z80" s="61"/>
      <c r="AA80" s="61"/>
      <c r="AB80" s="61"/>
    </row>
    <row r="81" spans="2:28" ht="15.6" hidden="1" x14ac:dyDescent="0.3">
      <c r="B81" s="53"/>
      <c r="C81" s="53"/>
      <c r="D81" s="40" t="s">
        <v>57</v>
      </c>
      <c r="E81" s="40">
        <v>22500</v>
      </c>
      <c r="F81" s="40"/>
      <c r="G81" s="40"/>
      <c r="H81" s="40"/>
      <c r="I81" s="40">
        <v>22500</v>
      </c>
      <c r="J81" s="53"/>
      <c r="K81" s="53"/>
      <c r="L81" s="53"/>
      <c r="M81" s="53"/>
      <c r="N81" s="53"/>
      <c r="O81" s="53"/>
      <c r="P81" s="53"/>
      <c r="S81" s="61"/>
      <c r="T81" s="61"/>
      <c r="U81" s="61"/>
      <c r="V81" s="61"/>
      <c r="W81" s="61"/>
      <c r="X81" s="61"/>
      <c r="Y81" s="61"/>
      <c r="Z81" s="61"/>
      <c r="AA81" s="61"/>
      <c r="AB81" s="61"/>
    </row>
    <row r="82" spans="2:28" ht="15.6" hidden="1" x14ac:dyDescent="0.3">
      <c r="B82" s="53"/>
      <c r="C82" s="53"/>
      <c r="D82" s="40" t="s">
        <v>58</v>
      </c>
      <c r="E82" s="40">
        <v>27000</v>
      </c>
      <c r="F82" s="40"/>
      <c r="G82" s="40"/>
      <c r="H82" s="40"/>
      <c r="I82" s="40">
        <v>26500</v>
      </c>
      <c r="J82" s="53"/>
      <c r="K82" s="53"/>
      <c r="L82" s="53"/>
      <c r="M82" s="53"/>
      <c r="N82" s="53"/>
      <c r="O82" s="53"/>
      <c r="P82" s="53"/>
      <c r="S82" s="61"/>
      <c r="T82" s="61"/>
      <c r="U82" s="61"/>
      <c r="V82" s="61"/>
      <c r="W82" s="61"/>
      <c r="X82" s="61"/>
      <c r="Y82" s="61"/>
      <c r="Z82" s="61"/>
      <c r="AA82" s="61"/>
      <c r="AB82" s="61"/>
    </row>
    <row r="83" spans="2:28" ht="15.6" hidden="1" x14ac:dyDescent="0.3">
      <c r="B83" s="53"/>
      <c r="C83" s="53"/>
      <c r="D83" s="40" t="s">
        <v>59</v>
      </c>
      <c r="E83" s="40">
        <v>30000</v>
      </c>
      <c r="F83" s="40"/>
      <c r="G83" s="40"/>
      <c r="H83" s="40"/>
      <c r="I83" s="40">
        <v>30000</v>
      </c>
      <c r="J83" s="53"/>
      <c r="K83" s="53"/>
      <c r="L83" s="53"/>
      <c r="M83" s="53"/>
      <c r="N83" s="53"/>
      <c r="O83" s="53"/>
      <c r="P83" s="53"/>
      <c r="S83" s="61"/>
      <c r="T83" s="61"/>
      <c r="U83" s="61"/>
      <c r="V83" s="61"/>
      <c r="W83" s="61"/>
      <c r="X83" s="61"/>
      <c r="Y83" s="61"/>
      <c r="Z83" s="61"/>
      <c r="AA83" s="61"/>
      <c r="AB83" s="61"/>
    </row>
    <row r="84" spans="2:28" ht="15.6" hidden="1" x14ac:dyDescent="0.3">
      <c r="B84" s="53"/>
      <c r="C84" s="53"/>
      <c r="D84" s="40" t="s">
        <v>60</v>
      </c>
      <c r="E84" s="40">
        <v>37500</v>
      </c>
      <c r="F84" s="40"/>
      <c r="G84" s="40"/>
      <c r="H84" s="40"/>
      <c r="I84" s="40">
        <v>34000</v>
      </c>
      <c r="J84" s="53"/>
      <c r="K84" s="53"/>
      <c r="L84" s="53"/>
      <c r="M84" s="53"/>
      <c r="N84" s="53"/>
      <c r="O84" s="53"/>
      <c r="P84" s="53"/>
      <c r="S84" s="61"/>
      <c r="T84" s="61"/>
      <c r="U84" s="61"/>
      <c r="V84" s="61"/>
      <c r="W84" s="61"/>
      <c r="X84" s="61"/>
      <c r="Y84" s="61"/>
      <c r="Z84" s="61"/>
      <c r="AA84" s="61"/>
      <c r="AB84" s="61"/>
    </row>
    <row r="85" spans="2:28" ht="15.6" hidden="1" x14ac:dyDescent="0.3">
      <c r="B85" s="53"/>
      <c r="C85" s="53"/>
      <c r="D85" s="40" t="s">
        <v>61</v>
      </c>
      <c r="E85" s="40">
        <v>37500</v>
      </c>
      <c r="F85" s="40"/>
      <c r="G85" s="40"/>
      <c r="H85" s="40"/>
      <c r="I85" s="40">
        <v>36000</v>
      </c>
      <c r="J85" s="53"/>
      <c r="K85" s="53"/>
      <c r="L85" s="53"/>
      <c r="M85" s="53"/>
      <c r="N85" s="53"/>
      <c r="O85" s="53"/>
      <c r="P85" s="53"/>
      <c r="S85" s="61"/>
      <c r="T85" s="61"/>
      <c r="U85" s="61"/>
      <c r="V85" s="61"/>
      <c r="W85" s="61"/>
      <c r="X85" s="61"/>
      <c r="Y85" s="61"/>
      <c r="Z85" s="61"/>
      <c r="AA85" s="61"/>
      <c r="AB85" s="61"/>
    </row>
    <row r="86" spans="2:28" ht="15.6" hidden="1" x14ac:dyDescent="0.3">
      <c r="B86" s="53"/>
      <c r="C86" s="53"/>
      <c r="D86" s="40" t="s">
        <v>62</v>
      </c>
      <c r="E86" s="40">
        <v>45000</v>
      </c>
      <c r="F86" s="40"/>
      <c r="G86" s="40"/>
      <c r="H86" s="40"/>
      <c r="I86" s="40">
        <v>45500</v>
      </c>
      <c r="J86" s="53"/>
      <c r="K86" s="53"/>
      <c r="L86" s="53"/>
      <c r="M86" s="53"/>
      <c r="N86" s="53"/>
      <c r="O86" s="53"/>
      <c r="P86" s="53"/>
      <c r="S86" s="61"/>
      <c r="T86" s="61"/>
      <c r="U86" s="61"/>
      <c r="V86" s="61"/>
      <c r="W86" s="61"/>
      <c r="X86" s="61"/>
      <c r="Y86" s="61"/>
      <c r="Z86" s="61"/>
      <c r="AA86" s="61"/>
      <c r="AB86" s="61"/>
    </row>
    <row r="87" spans="2:28" ht="15.6" hidden="1" x14ac:dyDescent="0.3">
      <c r="B87" s="53"/>
      <c r="C87" s="53"/>
      <c r="D87" s="40" t="s">
        <v>63</v>
      </c>
      <c r="E87" s="40">
        <v>48000</v>
      </c>
      <c r="F87" s="40"/>
      <c r="G87" s="40"/>
      <c r="H87" s="40"/>
      <c r="I87" s="40">
        <v>47000</v>
      </c>
      <c r="J87" s="53"/>
      <c r="K87" s="53"/>
      <c r="L87" s="53"/>
      <c r="M87" s="53"/>
      <c r="N87" s="53"/>
      <c r="O87" s="53"/>
      <c r="P87" s="53"/>
      <c r="S87" s="61"/>
      <c r="T87" s="61"/>
      <c r="U87" s="61"/>
      <c r="V87" s="61"/>
      <c r="W87" s="61"/>
      <c r="X87" s="61"/>
      <c r="Y87" s="61"/>
      <c r="Z87" s="61"/>
      <c r="AA87" s="61"/>
      <c r="AB87" s="61"/>
    </row>
    <row r="88" spans="2:28" ht="15.6" hidden="1" x14ac:dyDescent="0.3">
      <c r="B88" s="53"/>
      <c r="C88" s="53"/>
      <c r="D88" s="40" t="s">
        <v>64</v>
      </c>
      <c r="E88" s="40">
        <v>51000</v>
      </c>
      <c r="F88" s="40"/>
      <c r="G88" s="40"/>
      <c r="H88" s="40"/>
      <c r="I88" s="40">
        <v>49000</v>
      </c>
      <c r="J88" s="53"/>
      <c r="K88" s="53"/>
      <c r="L88" s="53"/>
      <c r="M88" s="53"/>
      <c r="N88" s="53"/>
      <c r="O88" s="53"/>
      <c r="P88" s="53"/>
      <c r="S88" s="61"/>
      <c r="T88" s="61"/>
      <c r="U88" s="61"/>
      <c r="V88" s="61"/>
      <c r="W88" s="61"/>
      <c r="X88" s="61"/>
      <c r="Y88" s="61"/>
      <c r="Z88" s="61"/>
      <c r="AA88" s="61"/>
      <c r="AB88" s="61"/>
    </row>
    <row r="89" spans="2:28" ht="15.6" hidden="1" x14ac:dyDescent="0.3">
      <c r="B89" s="53"/>
      <c r="C89" s="53"/>
      <c r="D89" s="40" t="s">
        <v>65</v>
      </c>
      <c r="E89" s="40">
        <v>51000</v>
      </c>
      <c r="F89" s="40"/>
      <c r="G89" s="40"/>
      <c r="H89" s="40"/>
      <c r="I89" s="40">
        <v>51000</v>
      </c>
      <c r="J89" s="53"/>
      <c r="K89" s="53"/>
      <c r="L89" s="53"/>
      <c r="M89" s="53"/>
      <c r="N89" s="53"/>
      <c r="O89" s="53"/>
      <c r="P89" s="53"/>
      <c r="S89" s="61"/>
      <c r="T89" s="61"/>
      <c r="U89" s="61"/>
      <c r="V89" s="61"/>
      <c r="W89" s="61"/>
      <c r="X89" s="61"/>
      <c r="Y89" s="61"/>
      <c r="Z89" s="61"/>
      <c r="AA89" s="61"/>
      <c r="AB89" s="61"/>
    </row>
    <row r="90" spans="2:28" ht="15.6" hidden="1" x14ac:dyDescent="0.3">
      <c r="B90" s="53"/>
      <c r="C90" s="53"/>
      <c r="D90" s="40" t="s">
        <v>66</v>
      </c>
      <c r="E90" s="40">
        <v>51000</v>
      </c>
      <c r="F90" s="40"/>
      <c r="G90" s="40"/>
      <c r="H90" s="40"/>
      <c r="I90" s="40">
        <v>53000</v>
      </c>
      <c r="J90" s="53"/>
      <c r="K90" s="53"/>
      <c r="L90" s="53"/>
      <c r="M90" s="53"/>
      <c r="N90" s="53"/>
      <c r="O90" s="53"/>
      <c r="P90" s="53"/>
      <c r="S90" s="61"/>
      <c r="T90" s="61"/>
      <c r="U90" s="61"/>
      <c r="V90" s="61"/>
      <c r="W90" s="61"/>
      <c r="X90" s="61"/>
      <c r="Y90" s="61"/>
      <c r="Z90" s="61"/>
      <c r="AA90" s="61"/>
      <c r="AB90" s="61"/>
    </row>
    <row r="91" spans="2:28" ht="15.6" hidden="1" x14ac:dyDescent="0.3">
      <c r="B91" s="53"/>
      <c r="C91" s="53"/>
      <c r="D91" s="40" t="s">
        <v>67</v>
      </c>
      <c r="E91" s="40">
        <v>51000</v>
      </c>
      <c r="F91" s="40"/>
      <c r="G91" s="40"/>
      <c r="H91" s="40"/>
      <c r="I91" s="40">
        <v>54000</v>
      </c>
      <c r="J91" s="53"/>
      <c r="K91" s="53"/>
      <c r="L91" s="53"/>
      <c r="M91" s="53"/>
      <c r="N91" s="53"/>
      <c r="O91" s="53"/>
      <c r="P91" s="53"/>
      <c r="S91" s="61"/>
      <c r="T91" s="61"/>
      <c r="U91" s="61"/>
      <c r="V91" s="61"/>
      <c r="W91" s="61"/>
      <c r="X91" s="61"/>
      <c r="Y91" s="61"/>
      <c r="Z91" s="61"/>
      <c r="AA91" s="61"/>
      <c r="AB91" s="61"/>
    </row>
    <row r="92" spans="2:28" ht="15.6" hidden="1" x14ac:dyDescent="0.3">
      <c r="B92" s="53"/>
      <c r="C92" s="53"/>
      <c r="D92" s="40" t="s">
        <v>68</v>
      </c>
      <c r="E92" s="40">
        <v>51000</v>
      </c>
      <c r="F92" s="40"/>
      <c r="G92" s="40"/>
      <c r="H92" s="40"/>
      <c r="I92" s="40">
        <v>58000</v>
      </c>
      <c r="J92" s="53"/>
      <c r="K92" s="53"/>
      <c r="L92" s="53"/>
      <c r="M92" s="53"/>
      <c r="N92" s="53"/>
      <c r="O92" s="53"/>
      <c r="P92" s="53"/>
      <c r="S92" s="61"/>
      <c r="T92" s="61"/>
      <c r="U92" s="61"/>
      <c r="V92" s="61"/>
      <c r="W92" s="61"/>
      <c r="X92" s="61"/>
      <c r="Y92" s="61"/>
      <c r="Z92" s="61"/>
      <c r="AA92" s="61"/>
      <c r="AB92" s="61"/>
    </row>
    <row r="93" spans="2:28" ht="15.6" hidden="1" x14ac:dyDescent="0.3">
      <c r="D93" s="40" t="s">
        <v>69</v>
      </c>
      <c r="E93" s="40">
        <v>3800</v>
      </c>
      <c r="F93" s="40"/>
      <c r="G93" s="40"/>
      <c r="H93" s="40"/>
      <c r="I93" s="40">
        <v>4360</v>
      </c>
      <c r="S93" s="61"/>
      <c r="T93" s="61"/>
      <c r="U93" s="61"/>
      <c r="V93" s="61"/>
      <c r="W93" s="61"/>
      <c r="X93" s="61"/>
      <c r="Y93" s="61"/>
      <c r="Z93" s="61"/>
      <c r="AA93" s="61"/>
      <c r="AB93" s="61"/>
    </row>
    <row r="94" spans="2:28" ht="15.6" hidden="1" x14ac:dyDescent="0.3">
      <c r="D94" s="40" t="s">
        <v>70</v>
      </c>
      <c r="E94" s="40">
        <v>3800</v>
      </c>
      <c r="F94" s="40"/>
      <c r="G94" s="40"/>
      <c r="H94" s="40"/>
      <c r="I94" s="40">
        <v>6003</v>
      </c>
      <c r="S94" s="61"/>
      <c r="T94" s="61"/>
      <c r="U94" s="61"/>
      <c r="V94" s="61"/>
      <c r="W94" s="61"/>
      <c r="X94" s="61"/>
      <c r="Y94" s="61"/>
      <c r="Z94" s="61"/>
      <c r="AA94" s="61"/>
      <c r="AB94" s="61"/>
    </row>
    <row r="95" spans="2:28" ht="15.6" hidden="1" x14ac:dyDescent="0.3">
      <c r="D95" s="40" t="s">
        <v>71</v>
      </c>
      <c r="E95" s="40">
        <v>8200</v>
      </c>
      <c r="F95" s="40"/>
      <c r="G95" s="40"/>
      <c r="H95" s="40"/>
      <c r="I95" s="40">
        <v>7078</v>
      </c>
      <c r="S95" s="61"/>
      <c r="T95" s="61"/>
      <c r="U95" s="61"/>
      <c r="V95" s="61"/>
      <c r="W95" s="61"/>
      <c r="X95" s="61"/>
      <c r="Y95" s="61"/>
      <c r="Z95" s="61"/>
      <c r="AA95" s="61"/>
      <c r="AB95" s="61"/>
    </row>
    <row r="96" spans="2:28" ht="15.6" hidden="1" x14ac:dyDescent="0.3">
      <c r="D96" s="40" t="s">
        <v>72</v>
      </c>
      <c r="E96" s="40">
        <v>8200</v>
      </c>
      <c r="F96" s="40"/>
      <c r="G96" s="40"/>
      <c r="H96" s="40"/>
      <c r="I96" s="40">
        <v>8153</v>
      </c>
      <c r="S96" s="61"/>
      <c r="T96" s="61"/>
      <c r="U96" s="61"/>
      <c r="V96" s="61"/>
      <c r="W96" s="61"/>
      <c r="X96" s="61"/>
      <c r="Y96" s="61"/>
      <c r="Z96" s="61"/>
      <c r="AA96" s="61"/>
      <c r="AB96" s="61"/>
    </row>
    <row r="97" spans="4:28" ht="15.6" hidden="1" x14ac:dyDescent="0.3">
      <c r="D97" s="40" t="s">
        <v>73</v>
      </c>
      <c r="E97" s="40">
        <v>10500</v>
      </c>
      <c r="F97" s="40"/>
      <c r="G97" s="40"/>
      <c r="H97" s="40"/>
      <c r="I97" s="40">
        <v>10501</v>
      </c>
      <c r="S97" s="61"/>
      <c r="T97" s="61"/>
      <c r="U97" s="61"/>
      <c r="V97" s="61"/>
      <c r="W97" s="61"/>
      <c r="X97" s="61"/>
      <c r="Y97" s="61"/>
      <c r="Z97" s="61"/>
      <c r="AA97" s="61"/>
      <c r="AB97" s="61"/>
    </row>
    <row r="98" spans="4:28" ht="15.6" hidden="1" x14ac:dyDescent="0.3">
      <c r="D98" s="40" t="s">
        <v>74</v>
      </c>
      <c r="E98" s="40">
        <v>13500</v>
      </c>
      <c r="F98" s="40"/>
      <c r="G98" s="40"/>
      <c r="H98" s="40"/>
      <c r="I98" s="40">
        <v>13500</v>
      </c>
      <c r="S98" s="61"/>
      <c r="T98" s="61"/>
      <c r="U98" s="61"/>
      <c r="V98" s="61"/>
      <c r="W98" s="61"/>
      <c r="X98" s="61"/>
      <c r="Y98" s="61"/>
      <c r="Z98" s="61"/>
      <c r="AA98" s="61"/>
      <c r="AB98" s="61"/>
    </row>
    <row r="99" spans="4:28" ht="15.6" hidden="1" x14ac:dyDescent="0.3">
      <c r="D99" s="40" t="s">
        <v>75</v>
      </c>
      <c r="E99" s="40">
        <v>15000</v>
      </c>
      <c r="F99" s="40"/>
      <c r="G99" s="40"/>
      <c r="H99" s="40"/>
      <c r="I99" s="40">
        <v>14998</v>
      </c>
      <c r="S99" s="61"/>
      <c r="T99" s="61"/>
      <c r="U99" s="61"/>
      <c r="V99" s="61"/>
      <c r="W99" s="61"/>
      <c r="X99" s="61"/>
      <c r="Y99" s="61"/>
      <c r="Z99" s="61"/>
      <c r="AA99" s="61"/>
      <c r="AB99" s="61"/>
    </row>
    <row r="100" spans="4:28" ht="15.6" hidden="1" x14ac:dyDescent="0.3">
      <c r="D100" s="40" t="s">
        <v>76</v>
      </c>
      <c r="E100" s="40">
        <v>3000</v>
      </c>
      <c r="F100" s="40"/>
      <c r="G100" s="40"/>
      <c r="H100" s="40"/>
      <c r="I100" s="40">
        <v>3000</v>
      </c>
      <c r="S100" s="61"/>
      <c r="T100" s="61"/>
      <c r="U100" s="61"/>
      <c r="V100" s="61"/>
      <c r="W100" s="61"/>
      <c r="X100" s="61"/>
      <c r="Y100" s="61"/>
      <c r="Z100" s="61"/>
      <c r="AA100" s="61"/>
      <c r="AB100" s="61"/>
    </row>
    <row r="101" spans="4:28" ht="15.6" hidden="1" x14ac:dyDescent="0.3">
      <c r="D101" s="40" t="s">
        <v>77</v>
      </c>
      <c r="E101" s="40"/>
      <c r="F101" s="40"/>
      <c r="G101" s="40"/>
      <c r="H101" s="40"/>
      <c r="I101" s="40">
        <v>2494</v>
      </c>
      <c r="S101" s="61"/>
      <c r="T101" s="61"/>
      <c r="U101" s="61"/>
      <c r="V101" s="61"/>
      <c r="W101" s="61"/>
      <c r="X101" s="61"/>
      <c r="Y101" s="61"/>
      <c r="Z101" s="61"/>
      <c r="AA101" s="61"/>
      <c r="AB101" s="61"/>
    </row>
    <row r="102" spans="4:28" ht="15.6" hidden="1" x14ac:dyDescent="0.3">
      <c r="D102" s="40" t="s">
        <v>78</v>
      </c>
      <c r="E102" s="40"/>
      <c r="F102" s="40"/>
      <c r="G102" s="40"/>
      <c r="H102" s="40"/>
      <c r="I102" s="40">
        <v>3096</v>
      </c>
      <c r="S102" s="61"/>
      <c r="T102" s="61"/>
      <c r="U102" s="61"/>
      <c r="V102" s="61"/>
      <c r="W102" s="61"/>
      <c r="X102" s="61"/>
      <c r="Y102" s="61"/>
      <c r="Z102" s="61"/>
      <c r="AA102" s="61"/>
      <c r="AB102" s="61"/>
    </row>
    <row r="103" spans="4:28" ht="15.6" hidden="1" x14ac:dyDescent="0.3">
      <c r="D103" s="40" t="s">
        <v>79</v>
      </c>
      <c r="E103" s="40">
        <v>6300</v>
      </c>
      <c r="F103" s="40"/>
      <c r="G103" s="40"/>
      <c r="H103" s="40"/>
      <c r="I103" s="40">
        <v>6966</v>
      </c>
      <c r="S103" s="61"/>
      <c r="T103" s="61"/>
      <c r="U103" s="61"/>
      <c r="V103" s="61"/>
      <c r="W103" s="61"/>
      <c r="X103" s="61"/>
      <c r="Y103" s="61"/>
      <c r="Z103" s="61"/>
      <c r="AA103" s="61"/>
      <c r="AB103" s="61"/>
    </row>
    <row r="104" spans="4:28" ht="15.6" hidden="1" x14ac:dyDescent="0.3">
      <c r="D104" s="40" t="s">
        <v>80</v>
      </c>
      <c r="E104" s="40">
        <v>9300</v>
      </c>
      <c r="F104" s="40"/>
      <c r="G104" s="40"/>
      <c r="H104" s="40"/>
      <c r="I104" s="40">
        <v>9288</v>
      </c>
      <c r="S104" s="61"/>
      <c r="T104" s="61"/>
      <c r="U104" s="61"/>
      <c r="V104" s="61"/>
      <c r="W104" s="61"/>
      <c r="X104" s="61"/>
      <c r="Y104" s="61"/>
      <c r="Z104" s="61"/>
      <c r="AA104" s="61"/>
      <c r="AB104" s="61"/>
    </row>
    <row r="105" spans="4:28" ht="15.6" hidden="1" x14ac:dyDescent="0.3">
      <c r="D105" s="40" t="s">
        <v>81</v>
      </c>
      <c r="E105" s="40">
        <v>7900</v>
      </c>
      <c r="F105" s="40"/>
      <c r="G105" s="40"/>
      <c r="H105" s="40"/>
      <c r="I105" s="40">
        <v>9976</v>
      </c>
      <c r="S105" s="61"/>
      <c r="T105" s="61"/>
      <c r="U105" s="61"/>
      <c r="V105" s="61"/>
      <c r="W105" s="61"/>
      <c r="X105" s="61"/>
      <c r="Y105" s="61"/>
      <c r="Z105" s="61"/>
      <c r="AA105" s="61"/>
      <c r="AB105" s="61"/>
    </row>
    <row r="106" spans="4:28" ht="15.6" hidden="1" x14ac:dyDescent="0.3">
      <c r="D106" s="40" t="s">
        <v>82</v>
      </c>
      <c r="E106" s="40">
        <v>9590</v>
      </c>
      <c r="F106" s="40"/>
      <c r="G106" s="40"/>
      <c r="H106" s="40"/>
      <c r="I106" s="40">
        <v>13390</v>
      </c>
      <c r="S106" s="61"/>
      <c r="T106" s="61"/>
      <c r="U106" s="61"/>
      <c r="V106" s="61"/>
      <c r="W106" s="61"/>
      <c r="X106" s="61"/>
      <c r="Y106" s="61"/>
      <c r="Z106" s="61"/>
      <c r="AA106" s="61"/>
      <c r="AB106" s="61"/>
    </row>
    <row r="107" spans="4:28" ht="15.6" hidden="1" x14ac:dyDescent="0.3">
      <c r="D107" s="40" t="s">
        <v>83</v>
      </c>
      <c r="E107" s="40">
        <v>9500</v>
      </c>
      <c r="F107" s="40"/>
      <c r="G107" s="40"/>
      <c r="H107" s="40"/>
      <c r="I107" s="40">
        <v>9976</v>
      </c>
      <c r="S107" s="61"/>
      <c r="T107" s="61"/>
      <c r="U107" s="61"/>
      <c r="V107" s="61"/>
      <c r="W107" s="61"/>
      <c r="X107" s="61"/>
      <c r="Y107" s="61"/>
      <c r="Z107" s="61"/>
      <c r="AA107" s="61"/>
      <c r="AB107" s="61"/>
    </row>
    <row r="108" spans="4:28" ht="15.6" hidden="1" x14ac:dyDescent="0.3">
      <c r="D108" s="40" t="s">
        <v>84</v>
      </c>
      <c r="E108" s="40">
        <v>11000</v>
      </c>
      <c r="F108" s="40"/>
      <c r="G108" s="40"/>
      <c r="H108" s="40"/>
      <c r="I108" s="40">
        <v>13390</v>
      </c>
      <c r="S108" s="61"/>
      <c r="T108" s="61"/>
      <c r="U108" s="61"/>
      <c r="V108" s="61"/>
      <c r="W108" s="61"/>
      <c r="X108" s="61"/>
      <c r="Y108" s="61"/>
      <c r="Z108" s="61"/>
      <c r="AA108" s="61"/>
      <c r="AB108" s="61"/>
    </row>
    <row r="109" spans="4:28" ht="15.6" hidden="1" x14ac:dyDescent="0.3">
      <c r="D109" s="40" t="s">
        <v>85</v>
      </c>
      <c r="E109" s="40">
        <v>3000</v>
      </c>
      <c r="F109" s="40"/>
      <c r="G109" s="40"/>
      <c r="H109" s="40"/>
      <c r="I109" s="40">
        <v>3010</v>
      </c>
      <c r="S109" s="61"/>
      <c r="T109" s="61"/>
      <c r="U109" s="61"/>
      <c r="V109" s="61"/>
      <c r="W109" s="61"/>
      <c r="X109" s="61"/>
      <c r="Y109" s="61"/>
      <c r="Z109" s="61"/>
      <c r="AA109" s="61"/>
      <c r="AB109" s="61"/>
    </row>
    <row r="110" spans="4:28" ht="15.6" hidden="1" x14ac:dyDescent="0.3">
      <c r="D110" s="40" t="s">
        <v>86</v>
      </c>
      <c r="E110" s="40">
        <v>5500</v>
      </c>
      <c r="F110" s="40"/>
      <c r="G110" s="40"/>
      <c r="H110" s="40"/>
      <c r="I110" s="40">
        <v>5500</v>
      </c>
      <c r="S110" s="61"/>
      <c r="T110" s="61"/>
      <c r="U110" s="61"/>
      <c r="V110" s="61"/>
      <c r="W110" s="61"/>
      <c r="X110" s="61"/>
      <c r="Y110" s="61"/>
      <c r="Z110" s="61"/>
      <c r="AA110" s="61"/>
      <c r="AB110" s="61"/>
    </row>
    <row r="111" spans="4:28" ht="15.6" hidden="1" x14ac:dyDescent="0.3">
      <c r="D111" s="40" t="s">
        <v>87</v>
      </c>
      <c r="E111" s="40">
        <v>500</v>
      </c>
      <c r="F111" s="40"/>
      <c r="G111" s="40"/>
      <c r="H111" s="40"/>
      <c r="I111" s="40">
        <v>500</v>
      </c>
      <c r="S111" s="61"/>
      <c r="T111" s="61"/>
      <c r="U111" s="61"/>
      <c r="V111" s="61"/>
      <c r="W111" s="61"/>
      <c r="X111" s="61"/>
      <c r="Y111" s="61"/>
      <c r="Z111" s="61"/>
      <c r="AA111" s="61"/>
      <c r="AB111" s="61"/>
    </row>
    <row r="112" spans="4:28" ht="15.6" hidden="1" x14ac:dyDescent="0.3">
      <c r="D112" s="40" t="s">
        <v>88</v>
      </c>
      <c r="E112" s="40">
        <v>13000</v>
      </c>
      <c r="F112" s="40"/>
      <c r="G112" s="40"/>
      <c r="H112" s="40"/>
      <c r="I112" s="40">
        <v>13000</v>
      </c>
      <c r="S112" s="61"/>
      <c r="T112" s="61"/>
      <c r="U112" s="61"/>
      <c r="V112" s="61"/>
      <c r="W112" s="61"/>
      <c r="X112" s="61"/>
      <c r="Y112" s="61"/>
      <c r="Z112" s="61"/>
      <c r="AA112" s="61"/>
      <c r="AB112" s="61"/>
    </row>
    <row r="113" spans="4:9" hidden="1" x14ac:dyDescent="0.3">
      <c r="D113" s="40" t="s">
        <v>89</v>
      </c>
      <c r="E113" s="40">
        <v>6000</v>
      </c>
      <c r="F113" s="40"/>
      <c r="G113" s="40"/>
      <c r="H113" s="40"/>
      <c r="I113" s="40">
        <v>6020</v>
      </c>
    </row>
    <row r="114" spans="4:9" hidden="1" x14ac:dyDescent="0.3">
      <c r="D114" s="63"/>
      <c r="E114" s="63"/>
      <c r="F114" s="63"/>
      <c r="G114" s="63"/>
      <c r="H114" s="63"/>
      <c r="I114" s="63"/>
    </row>
  </sheetData>
  <sheetProtection algorithmName="SHA-512" hashValue="Jw9qDmavcovmwUEbvIxtn1gZ7TCHR32oTgqqhJQyQp5/auoQCICOJq+C3u3YHLMWdJduqbgGI2nB1pchnRIQmg==" saltValue="KzkuzlwiyYbeqKVsRLgrcA==" spinCount="100000" sheet="1" objects="1" scenarios="1" selectLockedCells="1"/>
  <dataConsolidate function="min"/>
  <mergeCells count="10">
    <mergeCell ref="C2:T3"/>
    <mergeCell ref="V2:V3"/>
    <mergeCell ref="W2:W3"/>
    <mergeCell ref="X2:X3"/>
    <mergeCell ref="AF32:AG34"/>
    <mergeCell ref="B57:C57"/>
    <mergeCell ref="H57:I57"/>
    <mergeCell ref="B7:C7"/>
    <mergeCell ref="B9:C9"/>
    <mergeCell ref="H9:I9"/>
  </mergeCells>
  <conditionalFormatting sqref="S12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3:S5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2:S7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3:W53">
    <cfRule type="cellIs" dxfId="7" priority="3" operator="equal">
      <formula>"Recalcular Diâmetro"</formula>
    </cfRule>
    <cfRule type="containsText" dxfId="6" priority="4" operator="containsText" text="VELOCIDADE OK">
      <formula>NOT(ISERROR(SEARCH("VELOCIDADE OK",W13)))</formula>
    </cfRule>
  </conditionalFormatting>
  <conditionalFormatting sqref="W61:W70">
    <cfRule type="cellIs" dxfId="5" priority="1" operator="equal">
      <formula>"Recalcular Diâmetro"</formula>
    </cfRule>
    <cfRule type="containsText" dxfId="4" priority="2" operator="containsText" text="VELOCIDADE OK">
      <formula>NOT(ISERROR(SEARCH("VELOCIDADE OK",W61)))</formula>
    </cfRule>
  </conditionalFormatting>
  <dataValidations count="5">
    <dataValidation type="decimal" operator="greaterThan" allowBlank="1" showInputMessage="1" showErrorMessage="1" sqref="O61:O70 O12:O53" xr:uid="{DB0164F6-65BE-44A4-A4A4-3145BBEC0443}">
      <formula1>0</formula1>
    </dataValidation>
    <dataValidation type="decimal" operator="greaterThanOrEqual" allowBlank="1" showInputMessage="1" showErrorMessage="1" sqref="P13 H13:H53 J12:L53 H61:H70 J61:L70" xr:uid="{0D2C51B3-A4F5-4CE2-8426-3A4E45769D4B}">
      <formula1>0</formula1>
    </dataValidation>
    <dataValidation type="whole" operator="greaterThanOrEqual" allowBlank="1" showInputMessage="1" showErrorMessage="1" sqref="D61:D70 D13:D53" xr:uid="{C6711BF6-D19B-4749-B8DC-DDEEE6B0B742}">
      <formula1>0</formula1>
    </dataValidation>
    <dataValidation type="list" operator="greaterThan" allowBlank="1" showInputMessage="1" showErrorMessage="1" sqref="N14:N53 N62:N70" xr:uid="{70C58736-E972-4DD1-ACCB-3D840011DAA5}">
      <formula1>"16,20,26,32,40,50,63"</formula1>
    </dataValidation>
    <dataValidation type="list" allowBlank="1" showInputMessage="1" showErrorMessage="1" sqref="D7" xr:uid="{354E76A9-F2D7-4935-B8DF-9C450B3F54A8}">
      <formula1>"SIM,NÃO"</formula1>
    </dataValidation>
  </dataValidations>
  <hyperlinks>
    <hyperlink ref="V2:V3" location="GÁS!C21" display="INICIO" xr:uid="{A6F514A9-ADB1-482D-BAC0-9212BBB56D64}"/>
    <hyperlink ref="W2:W3" location="'DIMENSIONADOR - GLP'!D7" display="GLP" xr:uid="{82B0834B-2C2F-452B-BED1-457715C71C4F}"/>
    <hyperlink ref="X2:X3" location="REFERÊNCIA!N11" display="REFERÊNCIA" xr:uid="{CD7189D2-24D3-45C0-A523-909982B9ADF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786185D-40A2-4D1F-BFCC-5A0065299F53}">
          <x14:formula1>
            <xm:f>DADOS!$H$4:$H$10</xm:f>
          </x14:formula1>
          <xm:sqref>N13 N61</xm:sqref>
        </x14:dataValidation>
        <x14:dataValidation type="list" allowBlank="1" showInputMessage="1" showErrorMessage="1" xr:uid="{8777DBD9-3E7C-4CD1-B967-091838BAB6EA}">
          <x14:formula1>
            <xm:f>DADOS!$A$4:$A$16</xm:f>
          </x14:formula1>
          <xm:sqref>I12</xm:sqref>
        </x14:dataValidation>
        <x14:dataValidation type="list" allowBlank="1" showInputMessage="1" showErrorMessage="1" xr:uid="{0F5EF9D8-C815-4B23-9278-004769D1060C}">
          <x14:formula1>
            <xm:f>DADOS!$A$4:$A$19</xm:f>
          </x14:formula1>
          <xm:sqref>I13:I53 I61:I70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C110-2560-4C04-9C10-9797F76540F6}">
  <sheetPr codeName="Planilha2">
    <tabColor theme="3" tint="0.499984740745262"/>
  </sheetPr>
  <dimension ref="B1:Z72"/>
  <sheetViews>
    <sheetView showGridLines="0" zoomScale="80" zoomScaleNormal="80" workbookViewId="0">
      <pane ySplit="4" topLeftCell="A5" activePane="bottomLeft" state="frozen"/>
      <selection pane="bottomLeft" activeCell="D7" sqref="D7"/>
    </sheetView>
  </sheetViews>
  <sheetFormatPr defaultColWidth="9.109375" defaultRowHeight="14.4" zeroHeight="1" x14ac:dyDescent="0.3"/>
  <cols>
    <col min="1" max="1" width="2.44140625" customWidth="1"/>
    <col min="2" max="5" width="18.77734375" customWidth="1"/>
    <col min="6" max="6" width="18.77734375" hidden="1" customWidth="1"/>
    <col min="7" max="8" width="18.77734375" customWidth="1"/>
    <col min="9" max="9" width="30.77734375" customWidth="1"/>
    <col min="10" max="12" width="18.77734375" hidden="1" customWidth="1"/>
    <col min="13" max="14" width="18.77734375" customWidth="1"/>
    <col min="15" max="15" width="18.77734375" hidden="1" customWidth="1"/>
    <col min="16" max="17" width="18.77734375" customWidth="1"/>
    <col min="18" max="18" width="18.77734375" hidden="1" customWidth="1"/>
    <col min="19" max="20" width="18.77734375" customWidth="1"/>
    <col min="21" max="21" width="18.77734375" hidden="1" customWidth="1"/>
    <col min="22" max="24" width="18.77734375" customWidth="1"/>
    <col min="25" max="25" width="3.88671875" customWidth="1"/>
  </cols>
  <sheetData>
    <row r="1" spans="2:24" x14ac:dyDescent="0.3"/>
    <row r="2" spans="2:24" ht="18" customHeight="1" x14ac:dyDescent="0.3">
      <c r="C2" s="98" t="s">
        <v>155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77"/>
      <c r="V2" s="120" t="s">
        <v>0</v>
      </c>
      <c r="W2" s="120" t="s">
        <v>166</v>
      </c>
      <c r="X2" s="120" t="s">
        <v>168</v>
      </c>
    </row>
    <row r="3" spans="2:24" ht="18" customHeight="1" x14ac:dyDescent="0.3"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77"/>
      <c r="V3" s="120"/>
      <c r="W3" s="120"/>
      <c r="X3" s="120"/>
    </row>
    <row r="4" spans="2:24" x14ac:dyDescent="0.3"/>
    <row r="5" spans="2:24" ht="19.95" customHeight="1" x14ac:dyDescent="0.3">
      <c r="B5" s="69" t="s">
        <v>125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2:24" ht="15" customHeight="1" x14ac:dyDescent="0.3"/>
    <row r="7" spans="2:24" ht="15" customHeight="1" x14ac:dyDescent="0.3">
      <c r="B7" s="97" t="s">
        <v>139</v>
      </c>
      <c r="C7" s="97"/>
      <c r="D7" s="112" t="s">
        <v>169</v>
      </c>
    </row>
    <row r="8" spans="2:24" ht="15" customHeight="1" x14ac:dyDescent="0.3"/>
    <row r="9" spans="2:24" ht="15" customHeight="1" x14ac:dyDescent="0.3">
      <c r="B9" s="97" t="s">
        <v>129</v>
      </c>
      <c r="C9" s="97"/>
      <c r="D9" s="27" t="str">
        <f>F9&amp;" KPA"</f>
        <v>45 KPA</v>
      </c>
      <c r="F9" s="28">
        <f>$P$13*0.3</f>
        <v>45</v>
      </c>
      <c r="H9" s="97" t="s">
        <v>130</v>
      </c>
      <c r="I9" s="97"/>
      <c r="M9" s="29">
        <f>P13-F9</f>
        <v>105</v>
      </c>
    </row>
    <row r="10" spans="2:24" ht="15" customHeight="1" x14ac:dyDescent="0.3"/>
    <row r="11" spans="2:24" s="41" customFormat="1" ht="45" customHeight="1" x14ac:dyDescent="0.3">
      <c r="B11" s="65" t="s">
        <v>5</v>
      </c>
      <c r="C11" s="66" t="s">
        <v>47</v>
      </c>
      <c r="D11" s="66" t="s">
        <v>106</v>
      </c>
      <c r="E11" s="12" t="s">
        <v>107</v>
      </c>
      <c r="F11" s="12" t="s">
        <v>108</v>
      </c>
      <c r="G11" s="66" t="s">
        <v>109</v>
      </c>
      <c r="H11" s="66" t="s">
        <v>48</v>
      </c>
      <c r="I11" s="67" t="s">
        <v>49</v>
      </c>
      <c r="J11" s="18" t="s">
        <v>92</v>
      </c>
      <c r="K11" s="18" t="s">
        <v>93</v>
      </c>
      <c r="L11" s="18" t="s">
        <v>94</v>
      </c>
      <c r="M11" s="68" t="s">
        <v>95</v>
      </c>
      <c r="N11" s="68" t="s">
        <v>99</v>
      </c>
      <c r="O11" s="18" t="s">
        <v>100</v>
      </c>
      <c r="P11" s="68" t="s">
        <v>110</v>
      </c>
      <c r="Q11" s="68" t="s">
        <v>136</v>
      </c>
      <c r="R11" s="18" t="s">
        <v>137</v>
      </c>
      <c r="S11" s="68" t="s">
        <v>101</v>
      </c>
      <c r="T11" s="68" t="s">
        <v>111</v>
      </c>
      <c r="U11" s="18" t="s">
        <v>102</v>
      </c>
      <c r="V11" s="68" t="s">
        <v>135</v>
      </c>
      <c r="W11" s="68" t="s">
        <v>104</v>
      </c>
      <c r="X11" s="68" t="s">
        <v>105</v>
      </c>
    </row>
    <row r="12" spans="2:24" hidden="1" x14ac:dyDescent="0.3">
      <c r="B12" s="8" t="s">
        <v>6</v>
      </c>
      <c r="C12" s="8"/>
      <c r="D12" s="9">
        <f>D13</f>
        <v>0</v>
      </c>
      <c r="E12" s="21" t="str">
        <f>E13</f>
        <v>100,00</v>
      </c>
      <c r="F12" s="23">
        <f>F13</f>
        <v>0</v>
      </c>
      <c r="G12" s="21">
        <f>G13</f>
        <v>0</v>
      </c>
      <c r="H12" s="21">
        <v>0</v>
      </c>
      <c r="I12" s="4" t="s">
        <v>14</v>
      </c>
      <c r="J12" s="8">
        <f>IF(I12="TEE - Passagem Direta",1.8,IF(I12="União ou Redução",1.8,IF(I12="Conector Macho",1.6,IF(I12="Conector Fêmea",1.6,IF(I12="Conector Fêmea Giratório",1.6,IF(I12="Cotovelo",2.4,IF(I12="TEE - Passagem Angular",2.2,IF(I12="Cotovelo Macho",2.2,IF(I12="Cotovelo Fêmea",2.2,IF(I12="TEE - Entrada Central",3.2,IF(I12="F",3)))))))))))</f>
        <v>2.2000000000000002</v>
      </c>
      <c r="K12" s="21">
        <f>IF(V12&gt;0,0.316*((O12*V12)/(1000*0.0000157))^-0.25,50)</f>
        <v>50</v>
      </c>
      <c r="L12" s="21">
        <f>J12*O12/(1000*K12)</f>
        <v>5.2800000000000004E-4</v>
      </c>
      <c r="M12" s="21">
        <f>SUM(H12+L12)</f>
        <v>5.2800000000000004E-4</v>
      </c>
      <c r="N12" s="8">
        <f>N13</f>
        <v>16</v>
      </c>
      <c r="O12" s="8">
        <f>IF(N12=16,12,IF(N12=20,16,IF(N12=26,20,IF(N12=32,26,IF(N12=40,32,IF(N12=50,41,IF(N12=63,51,"")))))))</f>
        <v>12</v>
      </c>
      <c r="P12" s="21">
        <f>P13</f>
        <v>150</v>
      </c>
      <c r="Q12" s="21">
        <v>0</v>
      </c>
      <c r="R12" s="21">
        <v>0</v>
      </c>
      <c r="S12" s="64">
        <f>P12-T12</f>
        <v>0</v>
      </c>
      <c r="T12" s="21">
        <f>IF(P12="-","-",IF(P12&lt;7.6,-2273*1.8*M12*G12^1.82/O12^4.82+P12,IFERROR((((((-4.67*10^5*1.8*M12*G12^1.82/O12^4.82)+(P12+101.33)^2)^0.5)-101.33)+R12),"-")))</f>
        <v>150</v>
      </c>
      <c r="U12" s="21">
        <f>IFERROR(((S12 - R12)/M12),"-")</f>
        <v>0</v>
      </c>
      <c r="V12" s="21">
        <f>354*G12/O12^2</f>
        <v>0</v>
      </c>
      <c r="W12" s="8" t="str">
        <f>IF(V12&gt;20,"Recalcular Diâmetro",IF(V12&lt;20,"Velocidade OK"))</f>
        <v>Velocidade OK</v>
      </c>
      <c r="X12" s="38"/>
    </row>
    <row r="13" spans="2:24" ht="15" customHeight="1" x14ac:dyDescent="0.3">
      <c r="B13" s="113" t="s">
        <v>6</v>
      </c>
      <c r="C13" s="113" t="s">
        <v>7</v>
      </c>
      <c r="D13" s="114">
        <v>0</v>
      </c>
      <c r="E13" s="21" t="str">
        <f t="shared" ref="E13:E53" si="0">IF($D$7="NÃO","100,00",IF(D13/60&lt;=350,"100,00",IF(D13/60&lt;=9612,100/(1+0.001*((D13/60)-349)^0.8712),IF(D13/60&lt;=20000,100/(1+0.4705*((D13/60)-1055)^0.19931),"23,00"))))</f>
        <v>100,00</v>
      </c>
      <c r="F13" s="23">
        <f>(D13*E13)/100</f>
        <v>0</v>
      </c>
      <c r="G13" s="21">
        <f>(F13/24000)</f>
        <v>0</v>
      </c>
      <c r="H13" s="117">
        <v>0</v>
      </c>
      <c r="I13" s="113"/>
      <c r="J13" s="8" t="b">
        <f>IF(I13="",FALSE,IF(I13="F",3,VLOOKUP(I13,DADOS!$A$4:$B$19,2,0)))</f>
        <v>0</v>
      </c>
      <c r="K13" s="21">
        <f>IF(V13&gt;0,0.316*((O13*V13)/(1000*0.0000157))^-0.25,50)</f>
        <v>50</v>
      </c>
      <c r="L13" s="21">
        <f>J13*O13/(1000*K13)</f>
        <v>0</v>
      </c>
      <c r="M13" s="21">
        <f t="shared" ref="M13:M38" si="1">SUM(H13+L13)</f>
        <v>0</v>
      </c>
      <c r="N13" s="113">
        <v>16</v>
      </c>
      <c r="O13" s="8">
        <f>IF(N13=16,12,IF(N13=20,16,IF(N13=26,20,IF(N13=32,26,IF(N13=40,32,IF(N13=50,41,IF(N13=63,51,"")))))))</f>
        <v>12</v>
      </c>
      <c r="P13" s="119">
        <v>150</v>
      </c>
      <c r="Q13" s="117">
        <v>0</v>
      </c>
      <c r="R13" s="21">
        <f>1.318*10^-2*Q13*(1.8-1)</f>
        <v>0</v>
      </c>
      <c r="S13" s="64">
        <f>IFERROR((P13-T13),"-")</f>
        <v>0</v>
      </c>
      <c r="T13" s="21">
        <f>IF(P13="-","-",IF(P13&lt;7.6,-2273*1.8*M13*G13^1.82/O13^4.82+R13+T12,IFERROR((((((-4.67*10^5*1.8*M13*G13^1.82/O13^4.82)+(T12+101.33)^2)^0.5)-101.33)+R13-S12),"-")))</f>
        <v>150</v>
      </c>
      <c r="U13" s="21" t="str">
        <f>IFERROR(((S13 - R13)/M13),"-")</f>
        <v>-</v>
      </c>
      <c r="V13" s="21">
        <f>354*G13/O13^2</f>
        <v>0</v>
      </c>
      <c r="W13" s="39" t="str">
        <f>IF(V13&gt;20,"Recalcular Diâmetro",IF(V13&lt;20,"Velocidade OK"))</f>
        <v>Velocidade OK</v>
      </c>
      <c r="X13" s="21" t="str">
        <f>IF(C13&lt;1000,T13,"-")</f>
        <v>-</v>
      </c>
    </row>
    <row r="14" spans="2:24" ht="15" customHeight="1" x14ac:dyDescent="0.3">
      <c r="B14" s="113" t="s">
        <v>7</v>
      </c>
      <c r="C14" s="113" t="s">
        <v>21</v>
      </c>
      <c r="D14" s="114">
        <v>0</v>
      </c>
      <c r="E14" s="21" t="str">
        <f t="shared" si="0"/>
        <v>100,00</v>
      </c>
      <c r="F14" s="23">
        <f t="shared" ref="F14:F53" si="2">(D14*E14)/100</f>
        <v>0</v>
      </c>
      <c r="G14" s="21">
        <f>(F14/24000)</f>
        <v>0</v>
      </c>
      <c r="H14" s="117">
        <v>0</v>
      </c>
      <c r="I14" s="113"/>
      <c r="J14" s="8" t="b">
        <f>IF(I14="",FALSE,IF(I14="F",3,VLOOKUP(I14,DADOS!$A$4:$B$19,2,0)))</f>
        <v>0</v>
      </c>
      <c r="K14" s="21">
        <f t="shared" ref="K14:K53" si="3">IF(V14&gt;0,0.316*((O14*V14)/(1000*0.0000157))^-0.25,50)</f>
        <v>50</v>
      </c>
      <c r="L14" s="21">
        <f t="shared" ref="L14:L53" si="4">J14*O14/(1000*K14)</f>
        <v>0</v>
      </c>
      <c r="M14" s="21">
        <f t="shared" si="1"/>
        <v>0</v>
      </c>
      <c r="N14" s="113">
        <v>16</v>
      </c>
      <c r="O14" s="8">
        <f t="shared" ref="O14:O53" si="5">IF(N14=16,12,IF(N14=20,16,IF(N14=26,20,IF(N14=32,26,IF(N14=40,32,IF(N14=50,41,IF(N14=63,51,"")))))))</f>
        <v>12</v>
      </c>
      <c r="P14" s="21">
        <f>IFERROR(VLOOKUP(B14,$C$13:$W$53,18,FALSE),"-")</f>
        <v>150</v>
      </c>
      <c r="Q14" s="117">
        <v>0</v>
      </c>
      <c r="R14" s="21">
        <f t="shared" ref="R14:R53" si="6">1.318*10^-2*Q14*(1.8-1)</f>
        <v>0</v>
      </c>
      <c r="S14" s="64">
        <f t="shared" ref="S14:S53" si="7">IFERROR((P14-T14),"-")</f>
        <v>0</v>
      </c>
      <c r="T14" s="21">
        <f>IF(P14="-","-",IF(P14&lt;7.6,-2273*1.8*M14*G14^1.82/O14^4.82+P14+R14,IFERROR((((((-4.67*10^5*1.8*M14*G14^1.82/O14^4.82)+(T13+101.33)^2)^0.5)-101.33)+R14),"-")))</f>
        <v>150</v>
      </c>
      <c r="U14" s="21" t="str">
        <f t="shared" ref="U14:U53" si="8">IFERROR(((S14 - R14)/M14),"-")</f>
        <v>-</v>
      </c>
      <c r="V14" s="21">
        <f t="shared" ref="V14:V53" si="9">354*G14/O14^2</f>
        <v>0</v>
      </c>
      <c r="W14" s="39" t="str">
        <f t="shared" ref="W14:W53" si="10">IF(V14&gt;20,"Recalcular Diâmetro",IF(V14&lt;20,"Velocidade OK"))</f>
        <v>Velocidade OK</v>
      </c>
      <c r="X14" s="21" t="str">
        <f t="shared" ref="X14:X53" si="11">IF(C14&lt;1000,T14,"-")</f>
        <v>-</v>
      </c>
    </row>
    <row r="15" spans="2:24" ht="15" customHeight="1" x14ac:dyDescent="0.3">
      <c r="B15" s="113" t="s">
        <v>21</v>
      </c>
      <c r="C15" s="113" t="s">
        <v>22</v>
      </c>
      <c r="D15" s="114">
        <v>0</v>
      </c>
      <c r="E15" s="21" t="str">
        <f t="shared" si="0"/>
        <v>100,00</v>
      </c>
      <c r="F15" s="23">
        <f t="shared" si="2"/>
        <v>0</v>
      </c>
      <c r="G15" s="21">
        <f t="shared" ref="G15:G53" si="12">(F15/24000)</f>
        <v>0</v>
      </c>
      <c r="H15" s="117">
        <v>0</v>
      </c>
      <c r="I15" s="113"/>
      <c r="J15" s="8" t="b">
        <f>IF(I15="",FALSE,IF(I15="F",3,VLOOKUP(I15,DADOS!$A$4:$B$19,2,0)))</f>
        <v>0</v>
      </c>
      <c r="K15" s="21">
        <f t="shared" si="3"/>
        <v>50</v>
      </c>
      <c r="L15" s="21">
        <f t="shared" si="4"/>
        <v>0</v>
      </c>
      <c r="M15" s="21">
        <f t="shared" si="1"/>
        <v>0</v>
      </c>
      <c r="N15" s="113">
        <v>16</v>
      </c>
      <c r="O15" s="8">
        <f t="shared" si="5"/>
        <v>12</v>
      </c>
      <c r="P15" s="21">
        <f t="shared" ref="P15:P53" si="13">IFERROR(VLOOKUP(B15,$C$13:$W$53,18,FALSE),"-")</f>
        <v>150</v>
      </c>
      <c r="Q15" s="117">
        <v>0</v>
      </c>
      <c r="R15" s="21">
        <f t="shared" si="6"/>
        <v>0</v>
      </c>
      <c r="S15" s="64">
        <f t="shared" si="7"/>
        <v>0</v>
      </c>
      <c r="T15" s="21">
        <f t="shared" ref="T15:T53" si="14">IF(P15="-","-",IF(P15&lt;7.6,-2273*1.8*M15*G15^1.82/O15^4.82+P15+R15,IFERROR((((((-4.67*10^5*1.8*M15*G15^1.82/O15^4.82)+(T14+101.33)^2)^0.5)-101.33)+R15),"-")))</f>
        <v>150</v>
      </c>
      <c r="U15" s="21" t="str">
        <f t="shared" si="8"/>
        <v>-</v>
      </c>
      <c r="V15" s="21">
        <f t="shared" si="9"/>
        <v>0</v>
      </c>
      <c r="W15" s="39" t="str">
        <f t="shared" si="10"/>
        <v>Velocidade OK</v>
      </c>
      <c r="X15" s="21" t="str">
        <f t="shared" si="11"/>
        <v>-</v>
      </c>
    </row>
    <row r="16" spans="2:24" ht="15" customHeight="1" x14ac:dyDescent="0.3">
      <c r="B16" s="113" t="s">
        <v>22</v>
      </c>
      <c r="C16" s="113" t="s">
        <v>23</v>
      </c>
      <c r="D16" s="114">
        <v>0</v>
      </c>
      <c r="E16" s="21" t="str">
        <f t="shared" si="0"/>
        <v>100,00</v>
      </c>
      <c r="F16" s="23">
        <f t="shared" si="2"/>
        <v>0</v>
      </c>
      <c r="G16" s="21">
        <f t="shared" si="12"/>
        <v>0</v>
      </c>
      <c r="H16" s="117">
        <v>0</v>
      </c>
      <c r="I16" s="113"/>
      <c r="J16" s="8" t="b">
        <f>IF(I16="",FALSE,IF(I16="F",3,VLOOKUP(I16,DADOS!$A$4:$B$19,2,0)))</f>
        <v>0</v>
      </c>
      <c r="K16" s="21">
        <f t="shared" si="3"/>
        <v>50</v>
      </c>
      <c r="L16" s="21">
        <f t="shared" si="4"/>
        <v>0</v>
      </c>
      <c r="M16" s="21">
        <f t="shared" si="1"/>
        <v>0</v>
      </c>
      <c r="N16" s="113">
        <v>16</v>
      </c>
      <c r="O16" s="8">
        <f t="shared" si="5"/>
        <v>12</v>
      </c>
      <c r="P16" s="21">
        <f t="shared" si="13"/>
        <v>150</v>
      </c>
      <c r="Q16" s="117">
        <v>0</v>
      </c>
      <c r="R16" s="21">
        <f t="shared" si="6"/>
        <v>0</v>
      </c>
      <c r="S16" s="64">
        <f t="shared" si="7"/>
        <v>0</v>
      </c>
      <c r="T16" s="21">
        <f t="shared" si="14"/>
        <v>150</v>
      </c>
      <c r="U16" s="21" t="str">
        <f t="shared" si="8"/>
        <v>-</v>
      </c>
      <c r="V16" s="21">
        <f t="shared" si="9"/>
        <v>0</v>
      </c>
      <c r="W16" s="39" t="str">
        <f t="shared" si="10"/>
        <v>Velocidade OK</v>
      </c>
      <c r="X16" s="21" t="str">
        <f t="shared" si="11"/>
        <v>-</v>
      </c>
    </row>
    <row r="17" spans="2:26" ht="15" customHeight="1" x14ac:dyDescent="0.3">
      <c r="B17" s="113" t="s">
        <v>23</v>
      </c>
      <c r="C17" s="113" t="s">
        <v>24</v>
      </c>
      <c r="D17" s="114">
        <v>0</v>
      </c>
      <c r="E17" s="21" t="str">
        <f t="shared" si="0"/>
        <v>100,00</v>
      </c>
      <c r="F17" s="23">
        <f t="shared" si="2"/>
        <v>0</v>
      </c>
      <c r="G17" s="21">
        <f t="shared" si="12"/>
        <v>0</v>
      </c>
      <c r="H17" s="117">
        <v>0</v>
      </c>
      <c r="I17" s="113"/>
      <c r="J17" s="8" t="b">
        <f>IF(I17="",FALSE,IF(I17="F",3,VLOOKUP(I17,DADOS!$A$4:$B$19,2,0)))</f>
        <v>0</v>
      </c>
      <c r="K17" s="21">
        <f t="shared" si="3"/>
        <v>50</v>
      </c>
      <c r="L17" s="21">
        <f t="shared" si="4"/>
        <v>0</v>
      </c>
      <c r="M17" s="21">
        <f t="shared" si="1"/>
        <v>0</v>
      </c>
      <c r="N17" s="113">
        <v>16</v>
      </c>
      <c r="O17" s="8">
        <f t="shared" si="5"/>
        <v>12</v>
      </c>
      <c r="P17" s="21">
        <f t="shared" si="13"/>
        <v>150</v>
      </c>
      <c r="Q17" s="117">
        <v>0</v>
      </c>
      <c r="R17" s="21">
        <f t="shared" si="6"/>
        <v>0</v>
      </c>
      <c r="S17" s="64">
        <f t="shared" si="7"/>
        <v>0</v>
      </c>
      <c r="T17" s="21">
        <f t="shared" si="14"/>
        <v>150</v>
      </c>
      <c r="U17" s="21" t="str">
        <f t="shared" si="8"/>
        <v>-</v>
      </c>
      <c r="V17" s="21">
        <f t="shared" si="9"/>
        <v>0</v>
      </c>
      <c r="W17" s="39" t="str">
        <f t="shared" si="10"/>
        <v>Velocidade OK</v>
      </c>
      <c r="X17" s="21" t="str">
        <f t="shared" si="11"/>
        <v>-</v>
      </c>
    </row>
    <row r="18" spans="2:26" ht="15" customHeight="1" x14ac:dyDescent="0.3">
      <c r="B18" s="113" t="s">
        <v>24</v>
      </c>
      <c r="C18" s="113" t="s">
        <v>25</v>
      </c>
      <c r="D18" s="114">
        <v>0</v>
      </c>
      <c r="E18" s="21" t="str">
        <f t="shared" si="0"/>
        <v>100,00</v>
      </c>
      <c r="F18" s="23">
        <f t="shared" si="2"/>
        <v>0</v>
      </c>
      <c r="G18" s="21">
        <f t="shared" si="12"/>
        <v>0</v>
      </c>
      <c r="H18" s="117">
        <v>0</v>
      </c>
      <c r="I18" s="113"/>
      <c r="J18" s="8" t="b">
        <f>IF(I18="",FALSE,IF(I18="F",3,VLOOKUP(I18,DADOS!$A$4:$B$19,2,0)))</f>
        <v>0</v>
      </c>
      <c r="K18" s="21">
        <f t="shared" si="3"/>
        <v>50</v>
      </c>
      <c r="L18" s="21">
        <f t="shared" si="4"/>
        <v>0</v>
      </c>
      <c r="M18" s="21">
        <f t="shared" si="1"/>
        <v>0</v>
      </c>
      <c r="N18" s="113">
        <v>16</v>
      </c>
      <c r="O18" s="8">
        <f t="shared" si="5"/>
        <v>12</v>
      </c>
      <c r="P18" s="21">
        <f t="shared" si="13"/>
        <v>150</v>
      </c>
      <c r="Q18" s="117">
        <v>0</v>
      </c>
      <c r="R18" s="21">
        <f t="shared" si="6"/>
        <v>0</v>
      </c>
      <c r="S18" s="64">
        <f t="shared" si="7"/>
        <v>0</v>
      </c>
      <c r="T18" s="21">
        <f t="shared" si="14"/>
        <v>150</v>
      </c>
      <c r="U18" s="21" t="str">
        <f t="shared" si="8"/>
        <v>-</v>
      </c>
      <c r="V18" s="21">
        <f t="shared" si="9"/>
        <v>0</v>
      </c>
      <c r="W18" s="39" t="str">
        <f t="shared" si="10"/>
        <v>Velocidade OK</v>
      </c>
      <c r="X18" s="21" t="str">
        <f t="shared" si="11"/>
        <v>-</v>
      </c>
    </row>
    <row r="19" spans="2:26" ht="15" customHeight="1" x14ac:dyDescent="0.3">
      <c r="B19" s="113" t="s">
        <v>25</v>
      </c>
      <c r="C19" s="113" t="s">
        <v>26</v>
      </c>
      <c r="D19" s="114">
        <v>0</v>
      </c>
      <c r="E19" s="21" t="str">
        <f t="shared" si="0"/>
        <v>100,00</v>
      </c>
      <c r="F19" s="23">
        <f t="shared" si="2"/>
        <v>0</v>
      </c>
      <c r="G19" s="21">
        <f t="shared" si="12"/>
        <v>0</v>
      </c>
      <c r="H19" s="117">
        <v>0</v>
      </c>
      <c r="I19" s="113"/>
      <c r="J19" s="8" t="b">
        <f>IF(I19="",FALSE,IF(I19="F",3,VLOOKUP(I19,DADOS!$A$4:$B$19,2,0)))</f>
        <v>0</v>
      </c>
      <c r="K19" s="21">
        <f t="shared" si="3"/>
        <v>50</v>
      </c>
      <c r="L19" s="21">
        <f t="shared" si="4"/>
        <v>0</v>
      </c>
      <c r="M19" s="21">
        <f t="shared" si="1"/>
        <v>0</v>
      </c>
      <c r="N19" s="113">
        <v>16</v>
      </c>
      <c r="O19" s="8">
        <f t="shared" si="5"/>
        <v>12</v>
      </c>
      <c r="P19" s="21">
        <f t="shared" si="13"/>
        <v>150</v>
      </c>
      <c r="Q19" s="117">
        <v>0</v>
      </c>
      <c r="R19" s="21">
        <f t="shared" si="6"/>
        <v>0</v>
      </c>
      <c r="S19" s="64">
        <f t="shared" si="7"/>
        <v>0</v>
      </c>
      <c r="T19" s="21">
        <f t="shared" si="14"/>
        <v>150</v>
      </c>
      <c r="U19" s="21" t="str">
        <f t="shared" si="8"/>
        <v>-</v>
      </c>
      <c r="V19" s="21">
        <f t="shared" si="9"/>
        <v>0</v>
      </c>
      <c r="W19" s="39" t="str">
        <f t="shared" si="10"/>
        <v>Velocidade OK</v>
      </c>
      <c r="X19" s="21" t="str">
        <f t="shared" si="11"/>
        <v>-</v>
      </c>
    </row>
    <row r="20" spans="2:26" ht="15" customHeight="1" x14ac:dyDescent="0.3">
      <c r="B20" s="113" t="s">
        <v>26</v>
      </c>
      <c r="C20" s="113" t="s">
        <v>27</v>
      </c>
      <c r="D20" s="114">
        <v>0</v>
      </c>
      <c r="E20" s="21" t="str">
        <f t="shared" si="0"/>
        <v>100,00</v>
      </c>
      <c r="F20" s="23">
        <f t="shared" si="2"/>
        <v>0</v>
      </c>
      <c r="G20" s="21">
        <f t="shared" si="12"/>
        <v>0</v>
      </c>
      <c r="H20" s="117">
        <v>0</v>
      </c>
      <c r="I20" s="113"/>
      <c r="J20" s="8" t="b">
        <f>IF(I20="",FALSE,IF(I20="F",3,VLOOKUP(I20,DADOS!$A$4:$B$19,2,0)))</f>
        <v>0</v>
      </c>
      <c r="K20" s="21">
        <f t="shared" si="3"/>
        <v>50</v>
      </c>
      <c r="L20" s="21">
        <f t="shared" si="4"/>
        <v>0</v>
      </c>
      <c r="M20" s="21">
        <f t="shared" si="1"/>
        <v>0</v>
      </c>
      <c r="N20" s="113">
        <v>16</v>
      </c>
      <c r="O20" s="8">
        <f t="shared" si="5"/>
        <v>12</v>
      </c>
      <c r="P20" s="21">
        <f t="shared" si="13"/>
        <v>150</v>
      </c>
      <c r="Q20" s="117">
        <v>0</v>
      </c>
      <c r="R20" s="21">
        <f t="shared" si="6"/>
        <v>0</v>
      </c>
      <c r="S20" s="64">
        <f t="shared" si="7"/>
        <v>0</v>
      </c>
      <c r="T20" s="21">
        <f t="shared" si="14"/>
        <v>150</v>
      </c>
      <c r="U20" s="21" t="str">
        <f t="shared" si="8"/>
        <v>-</v>
      </c>
      <c r="V20" s="21">
        <f t="shared" si="9"/>
        <v>0</v>
      </c>
      <c r="W20" s="39" t="str">
        <f t="shared" si="10"/>
        <v>Velocidade OK</v>
      </c>
      <c r="X20" s="21" t="str">
        <f t="shared" si="11"/>
        <v>-</v>
      </c>
    </row>
    <row r="21" spans="2:26" ht="15" customHeight="1" x14ac:dyDescent="0.3">
      <c r="B21" s="113" t="s">
        <v>27</v>
      </c>
      <c r="C21" s="113" t="s">
        <v>28</v>
      </c>
      <c r="D21" s="114">
        <v>0</v>
      </c>
      <c r="E21" s="21" t="str">
        <f t="shared" si="0"/>
        <v>100,00</v>
      </c>
      <c r="F21" s="23">
        <f t="shared" si="2"/>
        <v>0</v>
      </c>
      <c r="G21" s="21">
        <f t="shared" si="12"/>
        <v>0</v>
      </c>
      <c r="H21" s="117">
        <v>0</v>
      </c>
      <c r="I21" s="113"/>
      <c r="J21" s="8" t="b">
        <f>IF(I21="",FALSE,IF(I21="F",3,VLOOKUP(I21,DADOS!$A$4:$B$19,2,0)))</f>
        <v>0</v>
      </c>
      <c r="K21" s="21">
        <f t="shared" si="3"/>
        <v>50</v>
      </c>
      <c r="L21" s="21">
        <f t="shared" si="4"/>
        <v>0</v>
      </c>
      <c r="M21" s="21">
        <f t="shared" si="1"/>
        <v>0</v>
      </c>
      <c r="N21" s="113">
        <v>16</v>
      </c>
      <c r="O21" s="8">
        <f t="shared" si="5"/>
        <v>12</v>
      </c>
      <c r="P21" s="21">
        <f t="shared" si="13"/>
        <v>150</v>
      </c>
      <c r="Q21" s="117">
        <v>0</v>
      </c>
      <c r="R21" s="21">
        <f t="shared" si="6"/>
        <v>0</v>
      </c>
      <c r="S21" s="64">
        <f t="shared" si="7"/>
        <v>0</v>
      </c>
      <c r="T21" s="21">
        <f t="shared" si="14"/>
        <v>150</v>
      </c>
      <c r="U21" s="21" t="str">
        <f t="shared" si="8"/>
        <v>-</v>
      </c>
      <c r="V21" s="21">
        <f t="shared" si="9"/>
        <v>0</v>
      </c>
      <c r="W21" s="39" t="str">
        <f t="shared" si="10"/>
        <v>Velocidade OK</v>
      </c>
      <c r="X21" s="21" t="str">
        <f t="shared" si="11"/>
        <v>-</v>
      </c>
    </row>
    <row r="22" spans="2:26" ht="15" customHeight="1" x14ac:dyDescent="0.3">
      <c r="B22" s="113" t="s">
        <v>28</v>
      </c>
      <c r="C22" s="113" t="s">
        <v>29</v>
      </c>
      <c r="D22" s="114">
        <v>0</v>
      </c>
      <c r="E22" s="21" t="str">
        <f t="shared" si="0"/>
        <v>100,00</v>
      </c>
      <c r="F22" s="23">
        <f t="shared" si="2"/>
        <v>0</v>
      </c>
      <c r="G22" s="21">
        <f t="shared" si="12"/>
        <v>0</v>
      </c>
      <c r="H22" s="117">
        <v>0</v>
      </c>
      <c r="I22" s="113"/>
      <c r="J22" s="8" t="b">
        <f>IF(I22="",FALSE,IF(I22="F",3,VLOOKUP(I22,DADOS!$A$4:$B$19,2,0)))</f>
        <v>0</v>
      </c>
      <c r="K22" s="21">
        <f t="shared" si="3"/>
        <v>50</v>
      </c>
      <c r="L22" s="21">
        <f t="shared" si="4"/>
        <v>0</v>
      </c>
      <c r="M22" s="21">
        <f t="shared" si="1"/>
        <v>0</v>
      </c>
      <c r="N22" s="113">
        <v>16</v>
      </c>
      <c r="O22" s="8">
        <f t="shared" si="5"/>
        <v>12</v>
      </c>
      <c r="P22" s="21">
        <f t="shared" si="13"/>
        <v>150</v>
      </c>
      <c r="Q22" s="117">
        <v>0</v>
      </c>
      <c r="R22" s="21">
        <f t="shared" si="6"/>
        <v>0</v>
      </c>
      <c r="S22" s="64">
        <f t="shared" si="7"/>
        <v>0</v>
      </c>
      <c r="T22" s="21">
        <f t="shared" si="14"/>
        <v>150</v>
      </c>
      <c r="U22" s="21" t="str">
        <f t="shared" si="8"/>
        <v>-</v>
      </c>
      <c r="V22" s="21">
        <f t="shared" si="9"/>
        <v>0</v>
      </c>
      <c r="W22" s="39" t="str">
        <f t="shared" si="10"/>
        <v>Velocidade OK</v>
      </c>
      <c r="X22" s="21" t="str">
        <f t="shared" si="11"/>
        <v>-</v>
      </c>
    </row>
    <row r="23" spans="2:26" ht="15" customHeight="1" x14ac:dyDescent="0.3">
      <c r="B23" s="113" t="s">
        <v>29</v>
      </c>
      <c r="C23" s="113" t="s">
        <v>30</v>
      </c>
      <c r="D23" s="114">
        <v>0</v>
      </c>
      <c r="E23" s="21" t="str">
        <f t="shared" si="0"/>
        <v>100,00</v>
      </c>
      <c r="F23" s="23">
        <f t="shared" si="2"/>
        <v>0</v>
      </c>
      <c r="G23" s="21">
        <f t="shared" si="12"/>
        <v>0</v>
      </c>
      <c r="H23" s="117">
        <v>0</v>
      </c>
      <c r="I23" s="113"/>
      <c r="J23" s="8" t="b">
        <f>IF(I23="",FALSE,IF(I23="F",3,VLOOKUP(I23,DADOS!$A$4:$B$19,2,0)))</f>
        <v>0</v>
      </c>
      <c r="K23" s="21">
        <f t="shared" si="3"/>
        <v>50</v>
      </c>
      <c r="L23" s="21">
        <f t="shared" si="4"/>
        <v>0</v>
      </c>
      <c r="M23" s="21">
        <f t="shared" si="1"/>
        <v>0</v>
      </c>
      <c r="N23" s="113">
        <v>16</v>
      </c>
      <c r="O23" s="8">
        <f t="shared" si="5"/>
        <v>12</v>
      </c>
      <c r="P23" s="21">
        <f t="shared" si="13"/>
        <v>150</v>
      </c>
      <c r="Q23" s="117">
        <v>0</v>
      </c>
      <c r="R23" s="21">
        <f t="shared" si="6"/>
        <v>0</v>
      </c>
      <c r="S23" s="64">
        <f t="shared" si="7"/>
        <v>0</v>
      </c>
      <c r="T23" s="21">
        <f t="shared" si="14"/>
        <v>150</v>
      </c>
      <c r="U23" s="21" t="str">
        <f t="shared" si="8"/>
        <v>-</v>
      </c>
      <c r="V23" s="21">
        <f t="shared" si="9"/>
        <v>0</v>
      </c>
      <c r="W23" s="39" t="str">
        <f t="shared" si="10"/>
        <v>Velocidade OK</v>
      </c>
      <c r="X23" s="21" t="str">
        <f t="shared" si="11"/>
        <v>-</v>
      </c>
    </row>
    <row r="24" spans="2:26" ht="15" customHeight="1" x14ac:dyDescent="0.3">
      <c r="B24" s="113" t="s">
        <v>30</v>
      </c>
      <c r="C24" s="113" t="s">
        <v>31</v>
      </c>
      <c r="D24" s="114">
        <v>0</v>
      </c>
      <c r="E24" s="21" t="str">
        <f t="shared" si="0"/>
        <v>100,00</v>
      </c>
      <c r="F24" s="23">
        <f t="shared" si="2"/>
        <v>0</v>
      </c>
      <c r="G24" s="21">
        <f t="shared" si="12"/>
        <v>0</v>
      </c>
      <c r="H24" s="117">
        <v>0</v>
      </c>
      <c r="I24" s="113"/>
      <c r="J24" s="8" t="b">
        <f>IF(I24="",FALSE,IF(I24="F",3,VLOOKUP(I24,DADOS!$A$4:$B$19,2,0)))</f>
        <v>0</v>
      </c>
      <c r="K24" s="21">
        <f t="shared" si="3"/>
        <v>50</v>
      </c>
      <c r="L24" s="21">
        <f t="shared" si="4"/>
        <v>0</v>
      </c>
      <c r="M24" s="21">
        <f t="shared" si="1"/>
        <v>0</v>
      </c>
      <c r="N24" s="113">
        <v>16</v>
      </c>
      <c r="O24" s="8">
        <f t="shared" si="5"/>
        <v>12</v>
      </c>
      <c r="P24" s="21">
        <f t="shared" si="13"/>
        <v>150</v>
      </c>
      <c r="Q24" s="117">
        <v>0</v>
      </c>
      <c r="R24" s="21">
        <f t="shared" si="6"/>
        <v>0</v>
      </c>
      <c r="S24" s="64">
        <f t="shared" si="7"/>
        <v>0</v>
      </c>
      <c r="T24" s="21">
        <f t="shared" si="14"/>
        <v>150</v>
      </c>
      <c r="U24" s="21" t="str">
        <f t="shared" si="8"/>
        <v>-</v>
      </c>
      <c r="V24" s="21">
        <f t="shared" si="9"/>
        <v>0</v>
      </c>
      <c r="W24" s="39" t="str">
        <f t="shared" si="10"/>
        <v>Velocidade OK</v>
      </c>
      <c r="X24" s="21" t="str">
        <f t="shared" si="11"/>
        <v>-</v>
      </c>
    </row>
    <row r="25" spans="2:26" ht="15" customHeight="1" x14ac:dyDescent="0.3">
      <c r="B25" s="113" t="s">
        <v>31</v>
      </c>
      <c r="C25" s="113" t="s">
        <v>32</v>
      </c>
      <c r="D25" s="114">
        <v>0</v>
      </c>
      <c r="E25" s="21" t="str">
        <f t="shared" si="0"/>
        <v>100,00</v>
      </c>
      <c r="F25" s="23">
        <f t="shared" si="2"/>
        <v>0</v>
      </c>
      <c r="G25" s="21">
        <f t="shared" si="12"/>
        <v>0</v>
      </c>
      <c r="H25" s="117">
        <v>0</v>
      </c>
      <c r="I25" s="113"/>
      <c r="J25" s="8" t="b">
        <f>IF(I25="",FALSE,IF(I25="F",3,VLOOKUP(I25,DADOS!$A$4:$B$19,2,0)))</f>
        <v>0</v>
      </c>
      <c r="K25" s="21">
        <f t="shared" si="3"/>
        <v>50</v>
      </c>
      <c r="L25" s="21">
        <f t="shared" si="4"/>
        <v>0</v>
      </c>
      <c r="M25" s="21">
        <f t="shared" si="1"/>
        <v>0</v>
      </c>
      <c r="N25" s="113">
        <v>16</v>
      </c>
      <c r="O25" s="8">
        <f t="shared" si="5"/>
        <v>12</v>
      </c>
      <c r="P25" s="21">
        <f t="shared" si="13"/>
        <v>150</v>
      </c>
      <c r="Q25" s="117">
        <v>0</v>
      </c>
      <c r="R25" s="21">
        <f t="shared" si="6"/>
        <v>0</v>
      </c>
      <c r="S25" s="64">
        <f t="shared" si="7"/>
        <v>0</v>
      </c>
      <c r="T25" s="21">
        <f t="shared" si="14"/>
        <v>150</v>
      </c>
      <c r="U25" s="21" t="str">
        <f t="shared" si="8"/>
        <v>-</v>
      </c>
      <c r="V25" s="21">
        <f t="shared" si="9"/>
        <v>0</v>
      </c>
      <c r="W25" s="39" t="str">
        <f t="shared" si="10"/>
        <v>Velocidade OK</v>
      </c>
      <c r="X25" s="21" t="str">
        <f t="shared" si="11"/>
        <v>-</v>
      </c>
    </row>
    <row r="26" spans="2:26" ht="15" customHeight="1" x14ac:dyDescent="0.3">
      <c r="B26" s="113" t="s">
        <v>32</v>
      </c>
      <c r="C26" s="113" t="s">
        <v>33</v>
      </c>
      <c r="D26" s="114">
        <v>0</v>
      </c>
      <c r="E26" s="21" t="str">
        <f t="shared" si="0"/>
        <v>100,00</v>
      </c>
      <c r="F26" s="23">
        <f t="shared" si="2"/>
        <v>0</v>
      </c>
      <c r="G26" s="21">
        <f t="shared" si="12"/>
        <v>0</v>
      </c>
      <c r="H26" s="117">
        <v>0</v>
      </c>
      <c r="I26" s="113"/>
      <c r="J26" s="8" t="b">
        <f>IF(I26="",FALSE,IF(I26="F",3,VLOOKUP(I26,DADOS!$A$4:$B$19,2,0)))</f>
        <v>0</v>
      </c>
      <c r="K26" s="21">
        <f t="shared" si="3"/>
        <v>50</v>
      </c>
      <c r="L26" s="21">
        <f t="shared" si="4"/>
        <v>0</v>
      </c>
      <c r="M26" s="21">
        <f t="shared" si="1"/>
        <v>0</v>
      </c>
      <c r="N26" s="113">
        <v>16</v>
      </c>
      <c r="O26" s="8">
        <f t="shared" si="5"/>
        <v>12</v>
      </c>
      <c r="P26" s="21">
        <f t="shared" si="13"/>
        <v>150</v>
      </c>
      <c r="Q26" s="117">
        <v>0</v>
      </c>
      <c r="R26" s="21">
        <f t="shared" si="6"/>
        <v>0</v>
      </c>
      <c r="S26" s="64">
        <f t="shared" si="7"/>
        <v>0</v>
      </c>
      <c r="T26" s="21">
        <f t="shared" si="14"/>
        <v>150</v>
      </c>
      <c r="U26" s="21" t="str">
        <f t="shared" si="8"/>
        <v>-</v>
      </c>
      <c r="V26" s="21">
        <f t="shared" si="9"/>
        <v>0</v>
      </c>
      <c r="W26" s="39" t="str">
        <f t="shared" si="10"/>
        <v>Velocidade OK</v>
      </c>
      <c r="X26" s="21" t="str">
        <f t="shared" si="11"/>
        <v>-</v>
      </c>
    </row>
    <row r="27" spans="2:26" ht="15" customHeight="1" x14ac:dyDescent="0.3">
      <c r="B27" s="113" t="s">
        <v>33</v>
      </c>
      <c r="C27" s="113" t="s">
        <v>34</v>
      </c>
      <c r="D27" s="114">
        <v>0</v>
      </c>
      <c r="E27" s="21" t="str">
        <f t="shared" si="0"/>
        <v>100,00</v>
      </c>
      <c r="F27" s="23">
        <f t="shared" si="2"/>
        <v>0</v>
      </c>
      <c r="G27" s="21">
        <f t="shared" si="12"/>
        <v>0</v>
      </c>
      <c r="H27" s="117">
        <v>0</v>
      </c>
      <c r="I27" s="113"/>
      <c r="J27" s="8" t="b">
        <f>IF(I27="",FALSE,IF(I27="F",3,VLOOKUP(I27,DADOS!$A$4:$B$19,2,0)))</f>
        <v>0</v>
      </c>
      <c r="K27" s="21">
        <f t="shared" si="3"/>
        <v>50</v>
      </c>
      <c r="L27" s="21">
        <f t="shared" si="4"/>
        <v>0</v>
      </c>
      <c r="M27" s="21">
        <f t="shared" si="1"/>
        <v>0</v>
      </c>
      <c r="N27" s="113">
        <v>16</v>
      </c>
      <c r="O27" s="8">
        <f t="shared" si="5"/>
        <v>12</v>
      </c>
      <c r="P27" s="21">
        <f t="shared" si="13"/>
        <v>150</v>
      </c>
      <c r="Q27" s="117">
        <v>0</v>
      </c>
      <c r="R27" s="21">
        <f t="shared" si="6"/>
        <v>0</v>
      </c>
      <c r="S27" s="64">
        <f t="shared" si="7"/>
        <v>0</v>
      </c>
      <c r="T27" s="21">
        <f t="shared" si="14"/>
        <v>150</v>
      </c>
      <c r="U27" s="21" t="str">
        <f t="shared" si="8"/>
        <v>-</v>
      </c>
      <c r="V27" s="21">
        <f t="shared" si="9"/>
        <v>0</v>
      </c>
      <c r="W27" s="39" t="str">
        <f t="shared" si="10"/>
        <v>Velocidade OK</v>
      </c>
      <c r="X27" s="21" t="str">
        <f t="shared" si="11"/>
        <v>-</v>
      </c>
    </row>
    <row r="28" spans="2:26" ht="15" customHeight="1" x14ac:dyDescent="0.3">
      <c r="B28" s="113" t="s">
        <v>34</v>
      </c>
      <c r="C28" s="113" t="s">
        <v>35</v>
      </c>
      <c r="D28" s="114">
        <v>0</v>
      </c>
      <c r="E28" s="21" t="str">
        <f t="shared" si="0"/>
        <v>100,00</v>
      </c>
      <c r="F28" s="23">
        <f t="shared" si="2"/>
        <v>0</v>
      </c>
      <c r="G28" s="21">
        <f t="shared" si="12"/>
        <v>0</v>
      </c>
      <c r="H28" s="117">
        <v>0</v>
      </c>
      <c r="I28" s="113"/>
      <c r="J28" s="8" t="b">
        <f>IF(I28="",FALSE,IF(I28="F",3,VLOOKUP(I28,DADOS!$A$4:$B$19,2,0)))</f>
        <v>0</v>
      </c>
      <c r="K28" s="21">
        <f t="shared" si="3"/>
        <v>50</v>
      </c>
      <c r="L28" s="21">
        <f t="shared" si="4"/>
        <v>0</v>
      </c>
      <c r="M28" s="21">
        <f t="shared" si="1"/>
        <v>0</v>
      </c>
      <c r="N28" s="113">
        <v>16</v>
      </c>
      <c r="O28" s="8">
        <f t="shared" si="5"/>
        <v>12</v>
      </c>
      <c r="P28" s="21">
        <f t="shared" si="13"/>
        <v>150</v>
      </c>
      <c r="Q28" s="117">
        <v>0</v>
      </c>
      <c r="R28" s="21">
        <f t="shared" si="6"/>
        <v>0</v>
      </c>
      <c r="S28" s="64">
        <f t="shared" si="7"/>
        <v>0</v>
      </c>
      <c r="T28" s="21">
        <f t="shared" si="14"/>
        <v>150</v>
      </c>
      <c r="U28" s="21" t="str">
        <f t="shared" si="8"/>
        <v>-</v>
      </c>
      <c r="V28" s="21">
        <f t="shared" si="9"/>
        <v>0</v>
      </c>
      <c r="W28" s="39" t="str">
        <f t="shared" si="10"/>
        <v>Velocidade OK</v>
      </c>
      <c r="X28" s="21" t="str">
        <f t="shared" si="11"/>
        <v>-</v>
      </c>
    </row>
    <row r="29" spans="2:26" ht="15" customHeight="1" x14ac:dyDescent="0.3">
      <c r="B29" s="113" t="s">
        <v>35</v>
      </c>
      <c r="C29" s="113" t="s">
        <v>36</v>
      </c>
      <c r="D29" s="114">
        <v>0</v>
      </c>
      <c r="E29" s="21" t="str">
        <f t="shared" si="0"/>
        <v>100,00</v>
      </c>
      <c r="F29" s="23">
        <f t="shared" si="2"/>
        <v>0</v>
      </c>
      <c r="G29" s="21">
        <f t="shared" si="12"/>
        <v>0</v>
      </c>
      <c r="H29" s="117">
        <v>0</v>
      </c>
      <c r="I29" s="113"/>
      <c r="J29" s="8" t="b">
        <f>IF(I29="",FALSE,IF(I29="F",3,VLOOKUP(I29,DADOS!$A$4:$B$19,2,0)))</f>
        <v>0</v>
      </c>
      <c r="K29" s="21">
        <f t="shared" si="3"/>
        <v>50</v>
      </c>
      <c r="L29" s="21">
        <f t="shared" si="4"/>
        <v>0</v>
      </c>
      <c r="M29" s="21">
        <f t="shared" si="1"/>
        <v>0</v>
      </c>
      <c r="N29" s="113">
        <v>16</v>
      </c>
      <c r="O29" s="8">
        <f t="shared" si="5"/>
        <v>12</v>
      </c>
      <c r="P29" s="21">
        <f t="shared" si="13"/>
        <v>150</v>
      </c>
      <c r="Q29" s="117">
        <v>0</v>
      </c>
      <c r="R29" s="21">
        <f t="shared" si="6"/>
        <v>0</v>
      </c>
      <c r="S29" s="64">
        <f t="shared" si="7"/>
        <v>0</v>
      </c>
      <c r="T29" s="21">
        <f t="shared" si="14"/>
        <v>150</v>
      </c>
      <c r="U29" s="21" t="str">
        <f t="shared" si="8"/>
        <v>-</v>
      </c>
      <c r="V29" s="21">
        <f t="shared" si="9"/>
        <v>0</v>
      </c>
      <c r="W29" s="39" t="str">
        <f t="shared" si="10"/>
        <v>Velocidade OK</v>
      </c>
      <c r="X29" s="21" t="str">
        <f t="shared" si="11"/>
        <v>-</v>
      </c>
    </row>
    <row r="30" spans="2:26" ht="15" customHeight="1" x14ac:dyDescent="0.3">
      <c r="B30" s="113" t="s">
        <v>36</v>
      </c>
      <c r="C30" s="113" t="s">
        <v>37</v>
      </c>
      <c r="D30" s="114">
        <v>0</v>
      </c>
      <c r="E30" s="21" t="str">
        <f t="shared" si="0"/>
        <v>100,00</v>
      </c>
      <c r="F30" s="23">
        <f t="shared" si="2"/>
        <v>0</v>
      </c>
      <c r="G30" s="21">
        <f t="shared" si="12"/>
        <v>0</v>
      </c>
      <c r="H30" s="117">
        <v>0</v>
      </c>
      <c r="I30" s="113"/>
      <c r="J30" s="8" t="b">
        <f>IF(I30="",FALSE,IF(I30="F",3,VLOOKUP(I30,DADOS!$A$4:$B$19,2,0)))</f>
        <v>0</v>
      </c>
      <c r="K30" s="21">
        <f t="shared" si="3"/>
        <v>50</v>
      </c>
      <c r="L30" s="21">
        <f t="shared" si="4"/>
        <v>0</v>
      </c>
      <c r="M30" s="21">
        <f t="shared" si="1"/>
        <v>0</v>
      </c>
      <c r="N30" s="113">
        <v>16</v>
      </c>
      <c r="O30" s="8">
        <f t="shared" si="5"/>
        <v>12</v>
      </c>
      <c r="P30" s="21">
        <f t="shared" si="13"/>
        <v>150</v>
      </c>
      <c r="Q30" s="117">
        <v>0</v>
      </c>
      <c r="R30" s="21">
        <f t="shared" si="6"/>
        <v>0</v>
      </c>
      <c r="S30" s="64">
        <f t="shared" si="7"/>
        <v>0</v>
      </c>
      <c r="T30" s="21">
        <f t="shared" si="14"/>
        <v>150</v>
      </c>
      <c r="U30" s="21" t="str">
        <f t="shared" si="8"/>
        <v>-</v>
      </c>
      <c r="V30" s="21">
        <f t="shared" si="9"/>
        <v>0</v>
      </c>
      <c r="W30" s="39" t="str">
        <f t="shared" si="10"/>
        <v>Velocidade OK</v>
      </c>
      <c r="X30" s="21" t="str">
        <f t="shared" si="11"/>
        <v>-</v>
      </c>
    </row>
    <row r="31" spans="2:26" ht="15" customHeight="1" x14ac:dyDescent="0.3">
      <c r="B31" s="113" t="s">
        <v>37</v>
      </c>
      <c r="C31" s="113" t="s">
        <v>43</v>
      </c>
      <c r="D31" s="114">
        <v>0</v>
      </c>
      <c r="E31" s="21" t="str">
        <f t="shared" si="0"/>
        <v>100,00</v>
      </c>
      <c r="F31" s="23">
        <f t="shared" si="2"/>
        <v>0</v>
      </c>
      <c r="G31" s="21">
        <f t="shared" si="12"/>
        <v>0</v>
      </c>
      <c r="H31" s="117">
        <v>0</v>
      </c>
      <c r="I31" s="113"/>
      <c r="J31" s="8" t="b">
        <f>IF(I31="",FALSE,IF(I31="F",3,VLOOKUP(I31,DADOS!$A$4:$B$19,2,0)))</f>
        <v>0</v>
      </c>
      <c r="K31" s="21">
        <f t="shared" si="3"/>
        <v>50</v>
      </c>
      <c r="L31" s="21">
        <f t="shared" si="4"/>
        <v>0</v>
      </c>
      <c r="M31" s="21">
        <f t="shared" si="1"/>
        <v>0</v>
      </c>
      <c r="N31" s="113">
        <v>16</v>
      </c>
      <c r="O31" s="8">
        <f t="shared" si="5"/>
        <v>12</v>
      </c>
      <c r="P31" s="21">
        <f t="shared" si="13"/>
        <v>150</v>
      </c>
      <c r="Q31" s="117">
        <v>0</v>
      </c>
      <c r="R31" s="21">
        <f t="shared" si="6"/>
        <v>0</v>
      </c>
      <c r="S31" s="64">
        <f t="shared" si="7"/>
        <v>0</v>
      </c>
      <c r="T31" s="21">
        <f t="shared" si="14"/>
        <v>150</v>
      </c>
      <c r="U31" s="21" t="str">
        <f t="shared" si="8"/>
        <v>-</v>
      </c>
      <c r="V31" s="21">
        <f t="shared" si="9"/>
        <v>0</v>
      </c>
      <c r="W31" s="39" t="str">
        <f t="shared" si="10"/>
        <v>Velocidade OK</v>
      </c>
      <c r="X31" s="21" t="str">
        <f t="shared" si="11"/>
        <v>-</v>
      </c>
    </row>
    <row r="32" spans="2:26" ht="15" customHeight="1" x14ac:dyDescent="0.3">
      <c r="B32" s="113" t="s">
        <v>43</v>
      </c>
      <c r="C32" s="113" t="s">
        <v>38</v>
      </c>
      <c r="D32" s="114">
        <v>0</v>
      </c>
      <c r="E32" s="21" t="str">
        <f t="shared" si="0"/>
        <v>100,00</v>
      </c>
      <c r="F32" s="23">
        <f t="shared" si="2"/>
        <v>0</v>
      </c>
      <c r="G32" s="21">
        <f t="shared" si="12"/>
        <v>0</v>
      </c>
      <c r="H32" s="117">
        <v>0</v>
      </c>
      <c r="I32" s="113"/>
      <c r="J32" s="8" t="b">
        <f>IF(I32="",FALSE,IF(I32="F",3,VLOOKUP(I32,DADOS!$A$4:$B$19,2,0)))</f>
        <v>0</v>
      </c>
      <c r="K32" s="21">
        <f t="shared" si="3"/>
        <v>50</v>
      </c>
      <c r="L32" s="21">
        <f t="shared" si="4"/>
        <v>0</v>
      </c>
      <c r="M32" s="21">
        <f t="shared" si="1"/>
        <v>0</v>
      </c>
      <c r="N32" s="113">
        <v>16</v>
      </c>
      <c r="O32" s="8">
        <f t="shared" si="5"/>
        <v>12</v>
      </c>
      <c r="P32" s="21">
        <f t="shared" si="13"/>
        <v>150</v>
      </c>
      <c r="Q32" s="117">
        <v>0</v>
      </c>
      <c r="R32" s="21">
        <f t="shared" si="6"/>
        <v>0</v>
      </c>
      <c r="S32" s="64">
        <f t="shared" si="7"/>
        <v>0</v>
      </c>
      <c r="T32" s="21">
        <f t="shared" si="14"/>
        <v>150</v>
      </c>
      <c r="U32" s="21" t="str">
        <f t="shared" si="8"/>
        <v>-</v>
      </c>
      <c r="V32" s="21">
        <f t="shared" si="9"/>
        <v>0</v>
      </c>
      <c r="W32" s="39" t="str">
        <f t="shared" si="10"/>
        <v>Velocidade OK</v>
      </c>
      <c r="X32" s="21" t="str">
        <f t="shared" si="11"/>
        <v>-</v>
      </c>
      <c r="Z32" s="96"/>
    </row>
    <row r="33" spans="2:26" ht="15" customHeight="1" x14ac:dyDescent="0.3">
      <c r="B33" s="113" t="s">
        <v>38</v>
      </c>
      <c r="C33" s="113" t="s">
        <v>39</v>
      </c>
      <c r="D33" s="114">
        <v>0</v>
      </c>
      <c r="E33" s="21" t="str">
        <f t="shared" si="0"/>
        <v>100,00</v>
      </c>
      <c r="F33" s="23">
        <f t="shared" si="2"/>
        <v>0</v>
      </c>
      <c r="G33" s="21">
        <f t="shared" si="12"/>
        <v>0</v>
      </c>
      <c r="H33" s="117">
        <v>0</v>
      </c>
      <c r="I33" s="113"/>
      <c r="J33" s="8" t="b">
        <f>IF(I33="",FALSE,IF(I33="F",3,VLOOKUP(I33,DADOS!$A$4:$B$19,2,0)))</f>
        <v>0</v>
      </c>
      <c r="K33" s="21">
        <f t="shared" si="3"/>
        <v>50</v>
      </c>
      <c r="L33" s="21">
        <f t="shared" si="4"/>
        <v>0</v>
      </c>
      <c r="M33" s="21">
        <f t="shared" si="1"/>
        <v>0</v>
      </c>
      <c r="N33" s="113">
        <v>16</v>
      </c>
      <c r="O33" s="8">
        <f t="shared" si="5"/>
        <v>12</v>
      </c>
      <c r="P33" s="21">
        <f t="shared" si="13"/>
        <v>150</v>
      </c>
      <c r="Q33" s="117">
        <v>0</v>
      </c>
      <c r="R33" s="21">
        <f t="shared" si="6"/>
        <v>0</v>
      </c>
      <c r="S33" s="64">
        <f t="shared" si="7"/>
        <v>0</v>
      </c>
      <c r="T33" s="21">
        <f t="shared" si="14"/>
        <v>150</v>
      </c>
      <c r="U33" s="21" t="str">
        <f t="shared" si="8"/>
        <v>-</v>
      </c>
      <c r="V33" s="21">
        <f t="shared" si="9"/>
        <v>0</v>
      </c>
      <c r="W33" s="39" t="str">
        <f t="shared" si="10"/>
        <v>Velocidade OK</v>
      </c>
      <c r="X33" s="21" t="str">
        <f t="shared" si="11"/>
        <v>-</v>
      </c>
      <c r="Z33" s="96"/>
    </row>
    <row r="34" spans="2:26" ht="15" customHeight="1" x14ac:dyDescent="0.3">
      <c r="B34" s="113" t="s">
        <v>39</v>
      </c>
      <c r="C34" s="113" t="s">
        <v>40</v>
      </c>
      <c r="D34" s="114">
        <v>0</v>
      </c>
      <c r="E34" s="21" t="str">
        <f t="shared" si="0"/>
        <v>100,00</v>
      </c>
      <c r="F34" s="23">
        <f t="shared" si="2"/>
        <v>0</v>
      </c>
      <c r="G34" s="21">
        <f t="shared" si="12"/>
        <v>0</v>
      </c>
      <c r="H34" s="117">
        <v>0</v>
      </c>
      <c r="I34" s="113"/>
      <c r="J34" s="8" t="b">
        <f>IF(I34="",FALSE,IF(I34="F",3,VLOOKUP(I34,DADOS!$A$4:$B$19,2,0)))</f>
        <v>0</v>
      </c>
      <c r="K34" s="21">
        <f t="shared" si="3"/>
        <v>50</v>
      </c>
      <c r="L34" s="21">
        <f t="shared" si="4"/>
        <v>0</v>
      </c>
      <c r="M34" s="21">
        <f t="shared" si="1"/>
        <v>0</v>
      </c>
      <c r="N34" s="113">
        <v>16</v>
      </c>
      <c r="O34" s="8">
        <f t="shared" si="5"/>
        <v>12</v>
      </c>
      <c r="P34" s="21">
        <f t="shared" si="13"/>
        <v>150</v>
      </c>
      <c r="Q34" s="117">
        <v>0</v>
      </c>
      <c r="R34" s="21">
        <f t="shared" si="6"/>
        <v>0</v>
      </c>
      <c r="S34" s="64">
        <f t="shared" si="7"/>
        <v>0</v>
      </c>
      <c r="T34" s="21">
        <f t="shared" si="14"/>
        <v>150</v>
      </c>
      <c r="U34" s="21" t="str">
        <f t="shared" si="8"/>
        <v>-</v>
      </c>
      <c r="V34" s="21">
        <f t="shared" si="9"/>
        <v>0</v>
      </c>
      <c r="W34" s="39" t="str">
        <f t="shared" si="10"/>
        <v>Velocidade OK</v>
      </c>
      <c r="X34" s="21" t="str">
        <f t="shared" si="11"/>
        <v>-</v>
      </c>
      <c r="Z34" s="96"/>
    </row>
    <row r="35" spans="2:26" ht="15" customHeight="1" x14ac:dyDescent="0.3">
      <c r="B35" s="113" t="s">
        <v>40</v>
      </c>
      <c r="C35" s="113" t="s">
        <v>41</v>
      </c>
      <c r="D35" s="114">
        <v>0</v>
      </c>
      <c r="E35" s="21" t="str">
        <f t="shared" si="0"/>
        <v>100,00</v>
      </c>
      <c r="F35" s="23">
        <f t="shared" si="2"/>
        <v>0</v>
      </c>
      <c r="G35" s="21">
        <f t="shared" si="12"/>
        <v>0</v>
      </c>
      <c r="H35" s="117">
        <v>0</v>
      </c>
      <c r="I35" s="113"/>
      <c r="J35" s="8" t="b">
        <f>IF(I35="",FALSE,IF(I35="F",3,VLOOKUP(I35,DADOS!$A$4:$B$19,2,0)))</f>
        <v>0</v>
      </c>
      <c r="K35" s="21">
        <f t="shared" si="3"/>
        <v>50</v>
      </c>
      <c r="L35" s="21">
        <f t="shared" si="4"/>
        <v>0</v>
      </c>
      <c r="M35" s="21">
        <f t="shared" si="1"/>
        <v>0</v>
      </c>
      <c r="N35" s="113">
        <v>16</v>
      </c>
      <c r="O35" s="8">
        <f t="shared" si="5"/>
        <v>12</v>
      </c>
      <c r="P35" s="21">
        <f t="shared" si="13"/>
        <v>150</v>
      </c>
      <c r="Q35" s="117">
        <v>0</v>
      </c>
      <c r="R35" s="21">
        <f t="shared" si="6"/>
        <v>0</v>
      </c>
      <c r="S35" s="64">
        <f t="shared" si="7"/>
        <v>0</v>
      </c>
      <c r="T35" s="21">
        <f t="shared" si="14"/>
        <v>150</v>
      </c>
      <c r="U35" s="21" t="str">
        <f t="shared" si="8"/>
        <v>-</v>
      </c>
      <c r="V35" s="21">
        <f t="shared" si="9"/>
        <v>0</v>
      </c>
      <c r="W35" s="39" t="str">
        <f t="shared" si="10"/>
        <v>Velocidade OK</v>
      </c>
      <c r="X35" s="21" t="str">
        <f t="shared" si="11"/>
        <v>-</v>
      </c>
    </row>
    <row r="36" spans="2:26" ht="15" customHeight="1" x14ac:dyDescent="0.3">
      <c r="B36" s="113" t="s">
        <v>41</v>
      </c>
      <c r="C36" s="113" t="s">
        <v>42</v>
      </c>
      <c r="D36" s="114">
        <v>0</v>
      </c>
      <c r="E36" s="21" t="str">
        <f t="shared" si="0"/>
        <v>100,00</v>
      </c>
      <c r="F36" s="23">
        <f t="shared" si="2"/>
        <v>0</v>
      </c>
      <c r="G36" s="21">
        <f t="shared" si="12"/>
        <v>0</v>
      </c>
      <c r="H36" s="117">
        <v>0</v>
      </c>
      <c r="I36" s="113"/>
      <c r="J36" s="8" t="b">
        <f>IF(I36="",FALSE,IF(I36="F",3,VLOOKUP(I36,DADOS!$A$4:$B$19,2,0)))</f>
        <v>0</v>
      </c>
      <c r="K36" s="21">
        <f t="shared" si="3"/>
        <v>50</v>
      </c>
      <c r="L36" s="21">
        <f t="shared" si="4"/>
        <v>0</v>
      </c>
      <c r="M36" s="21">
        <f t="shared" si="1"/>
        <v>0</v>
      </c>
      <c r="N36" s="113">
        <v>16</v>
      </c>
      <c r="O36" s="8">
        <f t="shared" si="5"/>
        <v>12</v>
      </c>
      <c r="P36" s="21">
        <f t="shared" si="13"/>
        <v>150</v>
      </c>
      <c r="Q36" s="117">
        <v>0</v>
      </c>
      <c r="R36" s="21">
        <f t="shared" si="6"/>
        <v>0</v>
      </c>
      <c r="S36" s="64">
        <f t="shared" si="7"/>
        <v>0</v>
      </c>
      <c r="T36" s="21">
        <f t="shared" si="14"/>
        <v>150</v>
      </c>
      <c r="U36" s="21" t="str">
        <f t="shared" si="8"/>
        <v>-</v>
      </c>
      <c r="V36" s="21">
        <f t="shared" si="9"/>
        <v>0</v>
      </c>
      <c r="W36" s="39" t="str">
        <f t="shared" si="10"/>
        <v>Velocidade OK</v>
      </c>
      <c r="X36" s="21" t="str">
        <f t="shared" si="11"/>
        <v>-</v>
      </c>
    </row>
    <row r="37" spans="2:26" ht="15" customHeight="1" x14ac:dyDescent="0.3">
      <c r="B37" s="113" t="s">
        <v>42</v>
      </c>
      <c r="C37" s="113" t="s">
        <v>44</v>
      </c>
      <c r="D37" s="114">
        <v>0</v>
      </c>
      <c r="E37" s="21" t="str">
        <f t="shared" si="0"/>
        <v>100,00</v>
      </c>
      <c r="F37" s="23">
        <f t="shared" si="2"/>
        <v>0</v>
      </c>
      <c r="G37" s="21">
        <f t="shared" si="12"/>
        <v>0</v>
      </c>
      <c r="H37" s="117">
        <v>0</v>
      </c>
      <c r="I37" s="113"/>
      <c r="J37" s="8" t="b">
        <f>IF(I37="",FALSE,IF(I37="F",3,VLOOKUP(I37,DADOS!$A$4:$B$19,2,0)))</f>
        <v>0</v>
      </c>
      <c r="K37" s="21">
        <f t="shared" si="3"/>
        <v>50</v>
      </c>
      <c r="L37" s="21">
        <f t="shared" si="4"/>
        <v>0</v>
      </c>
      <c r="M37" s="21">
        <f t="shared" si="1"/>
        <v>0</v>
      </c>
      <c r="N37" s="113">
        <v>16</v>
      </c>
      <c r="O37" s="8">
        <f t="shared" si="5"/>
        <v>12</v>
      </c>
      <c r="P37" s="21">
        <f t="shared" si="13"/>
        <v>150</v>
      </c>
      <c r="Q37" s="117">
        <v>0</v>
      </c>
      <c r="R37" s="21">
        <f t="shared" si="6"/>
        <v>0</v>
      </c>
      <c r="S37" s="64">
        <f t="shared" si="7"/>
        <v>0</v>
      </c>
      <c r="T37" s="21">
        <f t="shared" si="14"/>
        <v>150</v>
      </c>
      <c r="U37" s="21" t="str">
        <f t="shared" si="8"/>
        <v>-</v>
      </c>
      <c r="V37" s="21">
        <f t="shared" si="9"/>
        <v>0</v>
      </c>
      <c r="W37" s="39" t="str">
        <f t="shared" si="10"/>
        <v>Velocidade OK</v>
      </c>
      <c r="X37" s="21" t="str">
        <f t="shared" si="11"/>
        <v>-</v>
      </c>
    </row>
    <row r="38" spans="2:26" ht="15" customHeight="1" x14ac:dyDescent="0.3">
      <c r="B38" s="115" t="s">
        <v>44</v>
      </c>
      <c r="C38" s="115" t="s">
        <v>45</v>
      </c>
      <c r="D38" s="116">
        <v>0</v>
      </c>
      <c r="E38" s="22" t="str">
        <f t="shared" si="0"/>
        <v>100,00</v>
      </c>
      <c r="F38" s="24">
        <f t="shared" si="2"/>
        <v>0</v>
      </c>
      <c r="G38" s="21">
        <f t="shared" si="12"/>
        <v>0</v>
      </c>
      <c r="H38" s="118">
        <v>0</v>
      </c>
      <c r="I38" s="115"/>
      <c r="J38" s="8" t="b">
        <f>IF(I38="",FALSE,IF(I38="F",3,VLOOKUP(I38,DADOS!$A$4:$B$19,2,0)))</f>
        <v>0</v>
      </c>
      <c r="K38" s="22">
        <f t="shared" si="3"/>
        <v>50</v>
      </c>
      <c r="L38" s="22">
        <f t="shared" si="4"/>
        <v>0</v>
      </c>
      <c r="M38" s="22">
        <f t="shared" si="1"/>
        <v>0</v>
      </c>
      <c r="N38" s="115">
        <v>16</v>
      </c>
      <c r="O38" s="20">
        <f t="shared" si="5"/>
        <v>12</v>
      </c>
      <c r="P38" s="21">
        <f t="shared" si="13"/>
        <v>150</v>
      </c>
      <c r="Q38" s="118">
        <v>0</v>
      </c>
      <c r="R38" s="21">
        <f t="shared" si="6"/>
        <v>0</v>
      </c>
      <c r="S38" s="64">
        <f t="shared" si="7"/>
        <v>0</v>
      </c>
      <c r="T38" s="21">
        <f t="shared" si="14"/>
        <v>150</v>
      </c>
      <c r="U38" s="22" t="str">
        <f t="shared" si="8"/>
        <v>-</v>
      </c>
      <c r="V38" s="22">
        <f t="shared" si="9"/>
        <v>0</v>
      </c>
      <c r="W38" s="39" t="str">
        <f t="shared" si="10"/>
        <v>Velocidade OK</v>
      </c>
      <c r="X38" s="22" t="str">
        <f t="shared" si="11"/>
        <v>-</v>
      </c>
    </row>
    <row r="39" spans="2:26" ht="15" customHeight="1" x14ac:dyDescent="0.3">
      <c r="B39" s="115" t="s">
        <v>45</v>
      </c>
      <c r="C39" s="115" t="s">
        <v>46</v>
      </c>
      <c r="D39" s="116">
        <v>0</v>
      </c>
      <c r="E39" s="22" t="str">
        <f t="shared" si="0"/>
        <v>100,00</v>
      </c>
      <c r="F39" s="24">
        <f t="shared" si="2"/>
        <v>0</v>
      </c>
      <c r="G39" s="21">
        <f t="shared" si="12"/>
        <v>0</v>
      </c>
      <c r="H39" s="118">
        <v>0</v>
      </c>
      <c r="I39" s="115"/>
      <c r="J39" s="8" t="b">
        <f>IF(I39="",FALSE,IF(I39="F",3,VLOOKUP(I39,DADOS!$A$4:$B$19,2,0)))</f>
        <v>0</v>
      </c>
      <c r="K39" s="22">
        <f t="shared" si="3"/>
        <v>50</v>
      </c>
      <c r="L39" s="22">
        <f t="shared" si="4"/>
        <v>0</v>
      </c>
      <c r="M39" s="22">
        <f t="shared" ref="M39:M53" si="15">SUM(H39+L39)</f>
        <v>0</v>
      </c>
      <c r="N39" s="115">
        <v>16</v>
      </c>
      <c r="O39" s="20">
        <f t="shared" si="5"/>
        <v>12</v>
      </c>
      <c r="P39" s="21">
        <f t="shared" si="13"/>
        <v>150</v>
      </c>
      <c r="Q39" s="118">
        <v>0</v>
      </c>
      <c r="R39" s="21">
        <f t="shared" si="6"/>
        <v>0</v>
      </c>
      <c r="S39" s="64">
        <f t="shared" si="7"/>
        <v>0</v>
      </c>
      <c r="T39" s="21">
        <f t="shared" si="14"/>
        <v>150</v>
      </c>
      <c r="U39" s="22" t="str">
        <f t="shared" si="8"/>
        <v>-</v>
      </c>
      <c r="V39" s="22">
        <f t="shared" si="9"/>
        <v>0</v>
      </c>
      <c r="W39" s="39" t="str">
        <f t="shared" si="10"/>
        <v>Velocidade OK</v>
      </c>
      <c r="X39" s="22" t="str">
        <f t="shared" si="11"/>
        <v>-</v>
      </c>
    </row>
    <row r="40" spans="2:26" ht="15" customHeight="1" x14ac:dyDescent="0.3">
      <c r="B40" s="115" t="s">
        <v>46</v>
      </c>
      <c r="C40" s="115" t="s">
        <v>112</v>
      </c>
      <c r="D40" s="116">
        <v>0</v>
      </c>
      <c r="E40" s="22" t="str">
        <f t="shared" si="0"/>
        <v>100,00</v>
      </c>
      <c r="F40" s="24">
        <f t="shared" si="2"/>
        <v>0</v>
      </c>
      <c r="G40" s="21">
        <f t="shared" si="12"/>
        <v>0</v>
      </c>
      <c r="H40" s="118">
        <v>0</v>
      </c>
      <c r="I40" s="115"/>
      <c r="J40" s="8" t="b">
        <f>IF(I40="",FALSE,IF(I40="F",3,VLOOKUP(I40,DADOS!$A$4:$B$19,2,0)))</f>
        <v>0</v>
      </c>
      <c r="K40" s="22">
        <f t="shared" si="3"/>
        <v>50</v>
      </c>
      <c r="L40" s="22">
        <f t="shared" si="4"/>
        <v>0</v>
      </c>
      <c r="M40" s="22">
        <f t="shared" si="15"/>
        <v>0</v>
      </c>
      <c r="N40" s="115">
        <v>16</v>
      </c>
      <c r="O40" s="20">
        <f t="shared" si="5"/>
        <v>12</v>
      </c>
      <c r="P40" s="21">
        <f t="shared" si="13"/>
        <v>150</v>
      </c>
      <c r="Q40" s="118">
        <v>0</v>
      </c>
      <c r="R40" s="21">
        <f t="shared" si="6"/>
        <v>0</v>
      </c>
      <c r="S40" s="64">
        <f t="shared" si="7"/>
        <v>0</v>
      </c>
      <c r="T40" s="21">
        <f t="shared" si="14"/>
        <v>150</v>
      </c>
      <c r="U40" s="22" t="str">
        <f t="shared" si="8"/>
        <v>-</v>
      </c>
      <c r="V40" s="22">
        <f t="shared" si="9"/>
        <v>0</v>
      </c>
      <c r="W40" s="39" t="str">
        <f t="shared" si="10"/>
        <v>Velocidade OK</v>
      </c>
      <c r="X40" s="22" t="str">
        <f t="shared" si="11"/>
        <v>-</v>
      </c>
    </row>
    <row r="41" spans="2:26" ht="15" customHeight="1" x14ac:dyDescent="0.3">
      <c r="B41" s="115" t="s">
        <v>112</v>
      </c>
      <c r="C41" s="115" t="s">
        <v>113</v>
      </c>
      <c r="D41" s="116">
        <v>0</v>
      </c>
      <c r="E41" s="22" t="str">
        <f t="shared" si="0"/>
        <v>100,00</v>
      </c>
      <c r="F41" s="24">
        <f t="shared" si="2"/>
        <v>0</v>
      </c>
      <c r="G41" s="21">
        <f t="shared" si="12"/>
        <v>0</v>
      </c>
      <c r="H41" s="118">
        <v>0</v>
      </c>
      <c r="I41" s="115"/>
      <c r="J41" s="8" t="b">
        <f>IF(I41="",FALSE,IF(I41="F",3,VLOOKUP(I41,DADOS!$A$4:$B$19,2,0)))</f>
        <v>0</v>
      </c>
      <c r="K41" s="22">
        <f t="shared" si="3"/>
        <v>50</v>
      </c>
      <c r="L41" s="22">
        <f t="shared" si="4"/>
        <v>0</v>
      </c>
      <c r="M41" s="22">
        <f t="shared" si="15"/>
        <v>0</v>
      </c>
      <c r="N41" s="115">
        <v>16</v>
      </c>
      <c r="O41" s="20">
        <f t="shared" si="5"/>
        <v>12</v>
      </c>
      <c r="P41" s="21">
        <f t="shared" si="13"/>
        <v>150</v>
      </c>
      <c r="Q41" s="118">
        <v>0</v>
      </c>
      <c r="R41" s="21">
        <f t="shared" si="6"/>
        <v>0</v>
      </c>
      <c r="S41" s="64">
        <f t="shared" si="7"/>
        <v>0</v>
      </c>
      <c r="T41" s="21">
        <f t="shared" si="14"/>
        <v>150</v>
      </c>
      <c r="U41" s="22" t="str">
        <f t="shared" si="8"/>
        <v>-</v>
      </c>
      <c r="V41" s="22">
        <f t="shared" si="9"/>
        <v>0</v>
      </c>
      <c r="W41" s="39" t="str">
        <f t="shared" si="10"/>
        <v>Velocidade OK</v>
      </c>
      <c r="X41" s="22" t="str">
        <f t="shared" si="11"/>
        <v>-</v>
      </c>
    </row>
    <row r="42" spans="2:26" ht="15" customHeight="1" x14ac:dyDescent="0.3">
      <c r="B42" s="115" t="s">
        <v>113</v>
      </c>
      <c r="C42" s="115" t="s">
        <v>114</v>
      </c>
      <c r="D42" s="116">
        <v>0</v>
      </c>
      <c r="E42" s="22" t="str">
        <f t="shared" si="0"/>
        <v>100,00</v>
      </c>
      <c r="F42" s="24">
        <f t="shared" si="2"/>
        <v>0</v>
      </c>
      <c r="G42" s="21">
        <f t="shared" si="12"/>
        <v>0</v>
      </c>
      <c r="H42" s="118">
        <v>0</v>
      </c>
      <c r="I42" s="115"/>
      <c r="J42" s="8" t="b">
        <f>IF(I42="",FALSE,IF(I42="F",3,VLOOKUP(I42,DADOS!$A$4:$B$19,2,0)))</f>
        <v>0</v>
      </c>
      <c r="K42" s="22">
        <f t="shared" si="3"/>
        <v>50</v>
      </c>
      <c r="L42" s="22">
        <f t="shared" si="4"/>
        <v>0</v>
      </c>
      <c r="M42" s="22">
        <f t="shared" si="15"/>
        <v>0</v>
      </c>
      <c r="N42" s="115">
        <v>16</v>
      </c>
      <c r="O42" s="20">
        <f t="shared" si="5"/>
        <v>12</v>
      </c>
      <c r="P42" s="21">
        <f t="shared" si="13"/>
        <v>150</v>
      </c>
      <c r="Q42" s="118">
        <v>0</v>
      </c>
      <c r="R42" s="21">
        <f t="shared" si="6"/>
        <v>0</v>
      </c>
      <c r="S42" s="64">
        <f t="shared" si="7"/>
        <v>0</v>
      </c>
      <c r="T42" s="21">
        <f t="shared" si="14"/>
        <v>150</v>
      </c>
      <c r="U42" s="22" t="str">
        <f t="shared" si="8"/>
        <v>-</v>
      </c>
      <c r="V42" s="22">
        <f t="shared" si="9"/>
        <v>0</v>
      </c>
      <c r="W42" s="39" t="str">
        <f t="shared" si="10"/>
        <v>Velocidade OK</v>
      </c>
      <c r="X42" s="22" t="str">
        <f t="shared" si="11"/>
        <v>-</v>
      </c>
    </row>
    <row r="43" spans="2:26" ht="15" customHeight="1" x14ac:dyDescent="0.3">
      <c r="B43" s="115" t="s">
        <v>114</v>
      </c>
      <c r="C43" s="115" t="s">
        <v>115</v>
      </c>
      <c r="D43" s="116">
        <v>0</v>
      </c>
      <c r="E43" s="22" t="str">
        <f t="shared" si="0"/>
        <v>100,00</v>
      </c>
      <c r="F43" s="24">
        <f t="shared" si="2"/>
        <v>0</v>
      </c>
      <c r="G43" s="21">
        <f t="shared" si="12"/>
        <v>0</v>
      </c>
      <c r="H43" s="118">
        <v>0</v>
      </c>
      <c r="I43" s="115"/>
      <c r="J43" s="8" t="b">
        <f>IF(I43="",FALSE,IF(I43="F",3,VLOOKUP(I43,DADOS!$A$4:$B$19,2,0)))</f>
        <v>0</v>
      </c>
      <c r="K43" s="22">
        <f t="shared" si="3"/>
        <v>50</v>
      </c>
      <c r="L43" s="22">
        <f t="shared" si="4"/>
        <v>0</v>
      </c>
      <c r="M43" s="22">
        <f t="shared" si="15"/>
        <v>0</v>
      </c>
      <c r="N43" s="115">
        <v>16</v>
      </c>
      <c r="O43" s="20">
        <f t="shared" si="5"/>
        <v>12</v>
      </c>
      <c r="P43" s="21">
        <f t="shared" si="13"/>
        <v>150</v>
      </c>
      <c r="Q43" s="118">
        <v>0</v>
      </c>
      <c r="R43" s="21">
        <f t="shared" si="6"/>
        <v>0</v>
      </c>
      <c r="S43" s="64">
        <f t="shared" si="7"/>
        <v>0</v>
      </c>
      <c r="T43" s="21">
        <f t="shared" si="14"/>
        <v>150</v>
      </c>
      <c r="U43" s="22" t="str">
        <f t="shared" si="8"/>
        <v>-</v>
      </c>
      <c r="V43" s="22">
        <f t="shared" si="9"/>
        <v>0</v>
      </c>
      <c r="W43" s="39" t="str">
        <f t="shared" si="10"/>
        <v>Velocidade OK</v>
      </c>
      <c r="X43" s="22" t="str">
        <f t="shared" si="11"/>
        <v>-</v>
      </c>
    </row>
    <row r="44" spans="2:26" ht="15" customHeight="1" x14ac:dyDescent="0.3">
      <c r="B44" s="115" t="s">
        <v>115</v>
      </c>
      <c r="C44" s="115" t="s">
        <v>116</v>
      </c>
      <c r="D44" s="116">
        <v>0</v>
      </c>
      <c r="E44" s="22" t="str">
        <f t="shared" si="0"/>
        <v>100,00</v>
      </c>
      <c r="F44" s="24">
        <f t="shared" si="2"/>
        <v>0</v>
      </c>
      <c r="G44" s="21">
        <f t="shared" si="12"/>
        <v>0</v>
      </c>
      <c r="H44" s="118">
        <v>0</v>
      </c>
      <c r="I44" s="115"/>
      <c r="J44" s="8" t="b">
        <f>IF(I44="",FALSE,IF(I44="F",3,VLOOKUP(I44,DADOS!$A$4:$B$19,2,0)))</f>
        <v>0</v>
      </c>
      <c r="K44" s="22">
        <f t="shared" si="3"/>
        <v>50</v>
      </c>
      <c r="L44" s="22">
        <f t="shared" si="4"/>
        <v>0</v>
      </c>
      <c r="M44" s="22">
        <f t="shared" ref="M44:M52" si="16">SUM(H44+L44)</f>
        <v>0</v>
      </c>
      <c r="N44" s="115">
        <v>16</v>
      </c>
      <c r="O44" s="20">
        <f t="shared" si="5"/>
        <v>12</v>
      </c>
      <c r="P44" s="21">
        <f t="shared" si="13"/>
        <v>150</v>
      </c>
      <c r="Q44" s="118">
        <v>0</v>
      </c>
      <c r="R44" s="21">
        <f t="shared" si="6"/>
        <v>0</v>
      </c>
      <c r="S44" s="64">
        <f t="shared" si="7"/>
        <v>0</v>
      </c>
      <c r="T44" s="21">
        <f t="shared" si="14"/>
        <v>150</v>
      </c>
      <c r="U44" s="22" t="str">
        <f t="shared" si="8"/>
        <v>-</v>
      </c>
      <c r="V44" s="22">
        <f t="shared" si="9"/>
        <v>0</v>
      </c>
      <c r="W44" s="39" t="str">
        <f t="shared" si="10"/>
        <v>Velocidade OK</v>
      </c>
      <c r="X44" s="22" t="str">
        <f t="shared" si="11"/>
        <v>-</v>
      </c>
    </row>
    <row r="45" spans="2:26" ht="15" customHeight="1" x14ac:dyDescent="0.3">
      <c r="B45" s="115" t="s">
        <v>116</v>
      </c>
      <c r="C45" s="115" t="s">
        <v>117</v>
      </c>
      <c r="D45" s="116">
        <v>0</v>
      </c>
      <c r="E45" s="22" t="str">
        <f t="shared" si="0"/>
        <v>100,00</v>
      </c>
      <c r="F45" s="24">
        <f t="shared" si="2"/>
        <v>0</v>
      </c>
      <c r="G45" s="21">
        <f t="shared" si="12"/>
        <v>0</v>
      </c>
      <c r="H45" s="118">
        <v>0</v>
      </c>
      <c r="I45" s="115"/>
      <c r="J45" s="8" t="b">
        <f>IF(I45="",FALSE,IF(I45="F",3,VLOOKUP(I45,DADOS!$A$4:$B$19,2,0)))</f>
        <v>0</v>
      </c>
      <c r="K45" s="22">
        <f t="shared" si="3"/>
        <v>50</v>
      </c>
      <c r="L45" s="22">
        <f t="shared" si="4"/>
        <v>0</v>
      </c>
      <c r="M45" s="22">
        <f t="shared" si="16"/>
        <v>0</v>
      </c>
      <c r="N45" s="115">
        <v>16</v>
      </c>
      <c r="O45" s="20">
        <f t="shared" si="5"/>
        <v>12</v>
      </c>
      <c r="P45" s="21">
        <f t="shared" si="13"/>
        <v>150</v>
      </c>
      <c r="Q45" s="118">
        <v>0</v>
      </c>
      <c r="R45" s="21">
        <f t="shared" si="6"/>
        <v>0</v>
      </c>
      <c r="S45" s="64">
        <f t="shared" si="7"/>
        <v>0</v>
      </c>
      <c r="T45" s="21">
        <f t="shared" si="14"/>
        <v>150</v>
      </c>
      <c r="U45" s="22" t="str">
        <f t="shared" si="8"/>
        <v>-</v>
      </c>
      <c r="V45" s="22">
        <f t="shared" si="9"/>
        <v>0</v>
      </c>
      <c r="W45" s="39" t="str">
        <f t="shared" si="10"/>
        <v>Velocidade OK</v>
      </c>
      <c r="X45" s="22" t="str">
        <f t="shared" si="11"/>
        <v>-</v>
      </c>
    </row>
    <row r="46" spans="2:26" ht="15" customHeight="1" x14ac:dyDescent="0.3">
      <c r="B46" s="115" t="s">
        <v>117</v>
      </c>
      <c r="C46" s="115" t="s">
        <v>118</v>
      </c>
      <c r="D46" s="116">
        <v>0</v>
      </c>
      <c r="E46" s="22" t="str">
        <f t="shared" si="0"/>
        <v>100,00</v>
      </c>
      <c r="F46" s="24">
        <f t="shared" si="2"/>
        <v>0</v>
      </c>
      <c r="G46" s="21">
        <f t="shared" si="12"/>
        <v>0</v>
      </c>
      <c r="H46" s="118">
        <v>0</v>
      </c>
      <c r="I46" s="115"/>
      <c r="J46" s="8" t="b">
        <f>IF(I46="",FALSE,IF(I46="F",3,VLOOKUP(I46,DADOS!$A$4:$B$19,2,0)))</f>
        <v>0</v>
      </c>
      <c r="K46" s="22">
        <f t="shared" si="3"/>
        <v>50</v>
      </c>
      <c r="L46" s="22">
        <f t="shared" si="4"/>
        <v>0</v>
      </c>
      <c r="M46" s="22">
        <f t="shared" si="16"/>
        <v>0</v>
      </c>
      <c r="N46" s="115">
        <v>16</v>
      </c>
      <c r="O46" s="20">
        <f t="shared" si="5"/>
        <v>12</v>
      </c>
      <c r="P46" s="21">
        <f t="shared" si="13"/>
        <v>150</v>
      </c>
      <c r="Q46" s="118">
        <v>0</v>
      </c>
      <c r="R46" s="21">
        <f t="shared" si="6"/>
        <v>0</v>
      </c>
      <c r="S46" s="64">
        <f t="shared" si="7"/>
        <v>0</v>
      </c>
      <c r="T46" s="21">
        <f t="shared" si="14"/>
        <v>150</v>
      </c>
      <c r="U46" s="22" t="str">
        <f t="shared" si="8"/>
        <v>-</v>
      </c>
      <c r="V46" s="22">
        <f t="shared" si="9"/>
        <v>0</v>
      </c>
      <c r="W46" s="39" t="str">
        <f t="shared" si="10"/>
        <v>Velocidade OK</v>
      </c>
      <c r="X46" s="22" t="str">
        <f t="shared" si="11"/>
        <v>-</v>
      </c>
    </row>
    <row r="47" spans="2:26" ht="15" customHeight="1" x14ac:dyDescent="0.3">
      <c r="B47" s="115" t="s">
        <v>118</v>
      </c>
      <c r="C47" s="115" t="s">
        <v>119</v>
      </c>
      <c r="D47" s="116">
        <v>0</v>
      </c>
      <c r="E47" s="22" t="str">
        <f t="shared" si="0"/>
        <v>100,00</v>
      </c>
      <c r="F47" s="24">
        <f t="shared" si="2"/>
        <v>0</v>
      </c>
      <c r="G47" s="21">
        <f t="shared" si="12"/>
        <v>0</v>
      </c>
      <c r="H47" s="118">
        <v>0</v>
      </c>
      <c r="I47" s="115"/>
      <c r="J47" s="8" t="b">
        <f>IF(I47="",FALSE,IF(I47="F",3,VLOOKUP(I47,DADOS!$A$4:$B$19,2,0)))</f>
        <v>0</v>
      </c>
      <c r="K47" s="22">
        <f t="shared" si="3"/>
        <v>50</v>
      </c>
      <c r="L47" s="22">
        <f t="shared" si="4"/>
        <v>0</v>
      </c>
      <c r="M47" s="22">
        <f t="shared" si="16"/>
        <v>0</v>
      </c>
      <c r="N47" s="115">
        <v>16</v>
      </c>
      <c r="O47" s="20">
        <f t="shared" si="5"/>
        <v>12</v>
      </c>
      <c r="P47" s="21">
        <f t="shared" si="13"/>
        <v>150</v>
      </c>
      <c r="Q47" s="118">
        <v>0</v>
      </c>
      <c r="R47" s="21">
        <f t="shared" si="6"/>
        <v>0</v>
      </c>
      <c r="S47" s="64">
        <f t="shared" si="7"/>
        <v>0</v>
      </c>
      <c r="T47" s="21">
        <f t="shared" si="14"/>
        <v>150</v>
      </c>
      <c r="U47" s="22" t="str">
        <f t="shared" si="8"/>
        <v>-</v>
      </c>
      <c r="V47" s="22">
        <f t="shared" si="9"/>
        <v>0</v>
      </c>
      <c r="W47" s="39" t="str">
        <f t="shared" si="10"/>
        <v>Velocidade OK</v>
      </c>
      <c r="X47" s="22" t="str">
        <f t="shared" si="11"/>
        <v>-</v>
      </c>
    </row>
    <row r="48" spans="2:26" ht="15" customHeight="1" x14ac:dyDescent="0.3">
      <c r="B48" s="115" t="s">
        <v>119</v>
      </c>
      <c r="C48" s="115" t="s">
        <v>120</v>
      </c>
      <c r="D48" s="116">
        <v>0</v>
      </c>
      <c r="E48" s="22" t="str">
        <f t="shared" si="0"/>
        <v>100,00</v>
      </c>
      <c r="F48" s="24">
        <f t="shared" si="2"/>
        <v>0</v>
      </c>
      <c r="G48" s="21">
        <f t="shared" si="12"/>
        <v>0</v>
      </c>
      <c r="H48" s="118">
        <v>0</v>
      </c>
      <c r="I48" s="115"/>
      <c r="J48" s="8" t="b">
        <f>IF(I48="",FALSE,IF(I48="F",3,VLOOKUP(I48,DADOS!$A$4:$B$19,2,0)))</f>
        <v>0</v>
      </c>
      <c r="K48" s="22">
        <f t="shared" si="3"/>
        <v>50</v>
      </c>
      <c r="L48" s="22">
        <f t="shared" si="4"/>
        <v>0</v>
      </c>
      <c r="M48" s="22">
        <f t="shared" si="16"/>
        <v>0</v>
      </c>
      <c r="N48" s="115">
        <v>16</v>
      </c>
      <c r="O48" s="20">
        <f t="shared" si="5"/>
        <v>12</v>
      </c>
      <c r="P48" s="21">
        <f t="shared" si="13"/>
        <v>150</v>
      </c>
      <c r="Q48" s="118">
        <v>0</v>
      </c>
      <c r="R48" s="21">
        <f t="shared" si="6"/>
        <v>0</v>
      </c>
      <c r="S48" s="64">
        <f t="shared" si="7"/>
        <v>0</v>
      </c>
      <c r="T48" s="21">
        <f t="shared" si="14"/>
        <v>150</v>
      </c>
      <c r="U48" s="22" t="str">
        <f t="shared" si="8"/>
        <v>-</v>
      </c>
      <c r="V48" s="22">
        <f t="shared" si="9"/>
        <v>0</v>
      </c>
      <c r="W48" s="39" t="str">
        <f t="shared" si="10"/>
        <v>Velocidade OK</v>
      </c>
      <c r="X48" s="22" t="str">
        <f t="shared" si="11"/>
        <v>-</v>
      </c>
    </row>
    <row r="49" spans="2:24" ht="15" customHeight="1" x14ac:dyDescent="0.3">
      <c r="B49" s="115" t="s">
        <v>120</v>
      </c>
      <c r="C49" s="115" t="s">
        <v>121</v>
      </c>
      <c r="D49" s="116">
        <v>0</v>
      </c>
      <c r="E49" s="22" t="str">
        <f t="shared" si="0"/>
        <v>100,00</v>
      </c>
      <c r="F49" s="24">
        <f t="shared" si="2"/>
        <v>0</v>
      </c>
      <c r="G49" s="21">
        <f t="shared" si="12"/>
        <v>0</v>
      </c>
      <c r="H49" s="118">
        <v>0</v>
      </c>
      <c r="I49" s="115"/>
      <c r="J49" s="8" t="b">
        <f>IF(I49="",FALSE,IF(I49="F",3,VLOOKUP(I49,DADOS!$A$4:$B$19,2,0)))</f>
        <v>0</v>
      </c>
      <c r="K49" s="22">
        <f t="shared" si="3"/>
        <v>50</v>
      </c>
      <c r="L49" s="22">
        <f t="shared" si="4"/>
        <v>0</v>
      </c>
      <c r="M49" s="22">
        <f t="shared" si="16"/>
        <v>0</v>
      </c>
      <c r="N49" s="115">
        <v>16</v>
      </c>
      <c r="O49" s="20">
        <f t="shared" si="5"/>
        <v>12</v>
      </c>
      <c r="P49" s="21">
        <f t="shared" si="13"/>
        <v>150</v>
      </c>
      <c r="Q49" s="118">
        <v>0</v>
      </c>
      <c r="R49" s="21">
        <f t="shared" si="6"/>
        <v>0</v>
      </c>
      <c r="S49" s="64">
        <f t="shared" si="7"/>
        <v>0</v>
      </c>
      <c r="T49" s="21">
        <f t="shared" si="14"/>
        <v>150</v>
      </c>
      <c r="U49" s="22" t="str">
        <f t="shared" si="8"/>
        <v>-</v>
      </c>
      <c r="V49" s="22">
        <f t="shared" si="9"/>
        <v>0</v>
      </c>
      <c r="W49" s="39" t="str">
        <f t="shared" si="10"/>
        <v>Velocidade OK</v>
      </c>
      <c r="X49" s="22" t="str">
        <f t="shared" si="11"/>
        <v>-</v>
      </c>
    </row>
    <row r="50" spans="2:24" ht="15" customHeight="1" x14ac:dyDescent="0.3">
      <c r="B50" s="115" t="s">
        <v>121</v>
      </c>
      <c r="C50" s="115" t="s">
        <v>122</v>
      </c>
      <c r="D50" s="116">
        <v>0</v>
      </c>
      <c r="E50" s="22" t="str">
        <f t="shared" si="0"/>
        <v>100,00</v>
      </c>
      <c r="F50" s="24">
        <f t="shared" si="2"/>
        <v>0</v>
      </c>
      <c r="G50" s="21">
        <f t="shared" si="12"/>
        <v>0</v>
      </c>
      <c r="H50" s="118">
        <v>0</v>
      </c>
      <c r="I50" s="115"/>
      <c r="J50" s="8" t="b">
        <f>IF(I50="",FALSE,IF(I50="F",3,VLOOKUP(I50,DADOS!$A$4:$B$19,2,0)))</f>
        <v>0</v>
      </c>
      <c r="K50" s="22">
        <f t="shared" si="3"/>
        <v>50</v>
      </c>
      <c r="L50" s="22">
        <f t="shared" si="4"/>
        <v>0</v>
      </c>
      <c r="M50" s="22">
        <f t="shared" si="16"/>
        <v>0</v>
      </c>
      <c r="N50" s="115">
        <v>16</v>
      </c>
      <c r="O50" s="20">
        <f t="shared" si="5"/>
        <v>12</v>
      </c>
      <c r="P50" s="21">
        <f t="shared" si="13"/>
        <v>150</v>
      </c>
      <c r="Q50" s="118">
        <v>0</v>
      </c>
      <c r="R50" s="21">
        <f t="shared" si="6"/>
        <v>0</v>
      </c>
      <c r="S50" s="64">
        <f t="shared" si="7"/>
        <v>0</v>
      </c>
      <c r="T50" s="21">
        <f t="shared" si="14"/>
        <v>150</v>
      </c>
      <c r="U50" s="22" t="str">
        <f t="shared" si="8"/>
        <v>-</v>
      </c>
      <c r="V50" s="22">
        <f t="shared" si="9"/>
        <v>0</v>
      </c>
      <c r="W50" s="39" t="str">
        <f t="shared" si="10"/>
        <v>Velocidade OK</v>
      </c>
      <c r="X50" s="22" t="str">
        <f t="shared" si="11"/>
        <v>-</v>
      </c>
    </row>
    <row r="51" spans="2:24" ht="15" customHeight="1" x14ac:dyDescent="0.3">
      <c r="B51" s="115" t="s">
        <v>122</v>
      </c>
      <c r="C51" s="115" t="s">
        <v>123</v>
      </c>
      <c r="D51" s="116">
        <v>0</v>
      </c>
      <c r="E51" s="22" t="str">
        <f t="shared" si="0"/>
        <v>100,00</v>
      </c>
      <c r="F51" s="24">
        <f t="shared" si="2"/>
        <v>0</v>
      </c>
      <c r="G51" s="21">
        <f t="shared" si="12"/>
        <v>0</v>
      </c>
      <c r="H51" s="118">
        <v>0</v>
      </c>
      <c r="I51" s="115"/>
      <c r="J51" s="8" t="b">
        <f>IF(I51="",FALSE,IF(I51="F",3,VLOOKUP(I51,DADOS!$A$4:$B$19,2,0)))</f>
        <v>0</v>
      </c>
      <c r="K51" s="22">
        <f t="shared" si="3"/>
        <v>50</v>
      </c>
      <c r="L51" s="22">
        <f t="shared" si="4"/>
        <v>0</v>
      </c>
      <c r="M51" s="22">
        <f t="shared" si="16"/>
        <v>0</v>
      </c>
      <c r="N51" s="115">
        <v>16</v>
      </c>
      <c r="O51" s="20">
        <f t="shared" si="5"/>
        <v>12</v>
      </c>
      <c r="P51" s="21">
        <f t="shared" si="13"/>
        <v>150</v>
      </c>
      <c r="Q51" s="118">
        <v>0</v>
      </c>
      <c r="R51" s="21">
        <f t="shared" si="6"/>
        <v>0</v>
      </c>
      <c r="S51" s="64">
        <f t="shared" si="7"/>
        <v>0</v>
      </c>
      <c r="T51" s="21">
        <f t="shared" si="14"/>
        <v>150</v>
      </c>
      <c r="U51" s="22" t="str">
        <f t="shared" si="8"/>
        <v>-</v>
      </c>
      <c r="V51" s="22">
        <f t="shared" si="9"/>
        <v>0</v>
      </c>
      <c r="W51" s="39" t="str">
        <f t="shared" si="10"/>
        <v>Velocidade OK</v>
      </c>
      <c r="X51" s="22" t="str">
        <f t="shared" si="11"/>
        <v>-</v>
      </c>
    </row>
    <row r="52" spans="2:24" ht="15" customHeight="1" x14ac:dyDescent="0.3">
      <c r="B52" s="115" t="s">
        <v>123</v>
      </c>
      <c r="C52" s="115" t="s">
        <v>124</v>
      </c>
      <c r="D52" s="116">
        <v>0</v>
      </c>
      <c r="E52" s="22" t="str">
        <f t="shared" si="0"/>
        <v>100,00</v>
      </c>
      <c r="F52" s="24">
        <f t="shared" si="2"/>
        <v>0</v>
      </c>
      <c r="G52" s="21">
        <f t="shared" si="12"/>
        <v>0</v>
      </c>
      <c r="H52" s="118">
        <v>0</v>
      </c>
      <c r="I52" s="115"/>
      <c r="J52" s="8" t="b">
        <f>IF(I52="",FALSE,IF(I52="F",3,VLOOKUP(I52,DADOS!$A$4:$B$19,2,0)))</f>
        <v>0</v>
      </c>
      <c r="K52" s="22">
        <f t="shared" si="3"/>
        <v>50</v>
      </c>
      <c r="L52" s="22">
        <f t="shared" si="4"/>
        <v>0</v>
      </c>
      <c r="M52" s="22">
        <f t="shared" si="16"/>
        <v>0</v>
      </c>
      <c r="N52" s="115">
        <v>16</v>
      </c>
      <c r="O52" s="20">
        <f t="shared" si="5"/>
        <v>12</v>
      </c>
      <c r="P52" s="21">
        <f t="shared" si="13"/>
        <v>150</v>
      </c>
      <c r="Q52" s="118">
        <v>0</v>
      </c>
      <c r="R52" s="21">
        <f t="shared" si="6"/>
        <v>0</v>
      </c>
      <c r="S52" s="64">
        <f t="shared" si="7"/>
        <v>0</v>
      </c>
      <c r="T52" s="21">
        <f t="shared" si="14"/>
        <v>150</v>
      </c>
      <c r="U52" s="22" t="str">
        <f t="shared" si="8"/>
        <v>-</v>
      </c>
      <c r="V52" s="22">
        <f t="shared" si="9"/>
        <v>0</v>
      </c>
      <c r="W52" s="39" t="str">
        <f t="shared" si="10"/>
        <v>Velocidade OK</v>
      </c>
      <c r="X52" s="22" t="str">
        <f t="shared" si="11"/>
        <v>-</v>
      </c>
    </row>
    <row r="53" spans="2:24" ht="15" customHeight="1" x14ac:dyDescent="0.3">
      <c r="B53" s="113" t="s">
        <v>124</v>
      </c>
      <c r="C53" s="113" t="s">
        <v>189</v>
      </c>
      <c r="D53" s="114">
        <v>0</v>
      </c>
      <c r="E53" s="21" t="str">
        <f t="shared" si="0"/>
        <v>100,00</v>
      </c>
      <c r="F53" s="23">
        <f t="shared" si="2"/>
        <v>0</v>
      </c>
      <c r="G53" s="21">
        <f t="shared" si="12"/>
        <v>0</v>
      </c>
      <c r="H53" s="117">
        <v>0</v>
      </c>
      <c r="I53" s="113"/>
      <c r="J53" s="8" t="b">
        <f>IF(I53="",FALSE,IF(I53="F",3,VLOOKUP(I53,DADOS!$A$4:$B$19,2,0)))</f>
        <v>0</v>
      </c>
      <c r="K53" s="21">
        <f t="shared" si="3"/>
        <v>50</v>
      </c>
      <c r="L53" s="21">
        <f t="shared" si="4"/>
        <v>0</v>
      </c>
      <c r="M53" s="21">
        <f t="shared" si="15"/>
        <v>0</v>
      </c>
      <c r="N53" s="113">
        <v>16</v>
      </c>
      <c r="O53" s="8">
        <f t="shared" si="5"/>
        <v>12</v>
      </c>
      <c r="P53" s="21">
        <f t="shared" si="13"/>
        <v>150</v>
      </c>
      <c r="Q53" s="117">
        <v>0</v>
      </c>
      <c r="R53" s="21">
        <f t="shared" si="6"/>
        <v>0</v>
      </c>
      <c r="S53" s="64">
        <f t="shared" si="7"/>
        <v>0</v>
      </c>
      <c r="T53" s="21">
        <f t="shared" si="14"/>
        <v>150</v>
      </c>
      <c r="U53" s="21" t="str">
        <f t="shared" si="8"/>
        <v>-</v>
      </c>
      <c r="V53" s="21">
        <f t="shared" si="9"/>
        <v>0</v>
      </c>
      <c r="W53" s="39" t="str">
        <f t="shared" si="10"/>
        <v>Velocidade OK</v>
      </c>
      <c r="X53" s="21" t="str">
        <f t="shared" si="11"/>
        <v>-</v>
      </c>
    </row>
    <row r="54" spans="2:24" ht="15" customHeight="1" x14ac:dyDescent="0.3">
      <c r="B54" s="42"/>
      <c r="C54" s="42"/>
      <c r="D54" s="43"/>
      <c r="E54" s="44"/>
      <c r="F54" s="45"/>
      <c r="G54" s="44"/>
      <c r="H54" s="46"/>
      <c r="I54" s="47"/>
      <c r="J54" s="44"/>
      <c r="K54" s="48"/>
      <c r="L54" s="44"/>
      <c r="M54" s="44"/>
      <c r="N54" s="49"/>
      <c r="O54" s="50"/>
      <c r="P54" s="44"/>
      <c r="Q54" s="51"/>
      <c r="R54" s="44"/>
      <c r="S54" s="44"/>
      <c r="T54" s="44"/>
      <c r="U54" s="44"/>
      <c r="V54" s="44"/>
      <c r="W54" s="52"/>
      <c r="X54" s="52"/>
    </row>
    <row r="55" spans="2:24" ht="19.95" customHeight="1" x14ac:dyDescent="0.3">
      <c r="B55" s="69" t="s">
        <v>126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</row>
    <row r="56" spans="2:24" ht="15" customHeight="1" x14ac:dyDescent="0.3"/>
    <row r="57" spans="2:24" ht="15" customHeight="1" x14ac:dyDescent="0.3">
      <c r="B57" s="97" t="s">
        <v>129</v>
      </c>
      <c r="C57" s="97"/>
      <c r="D57" s="27" t="str">
        <f>F57&amp;" KPA"</f>
        <v>0,28 KPA</v>
      </c>
      <c r="F57" s="28">
        <f>S59*0.1</f>
        <v>0.27999999999999997</v>
      </c>
      <c r="H57" s="97" t="s">
        <v>131</v>
      </c>
      <c r="I57" s="97"/>
      <c r="M57" s="29">
        <f>S59-F57</f>
        <v>2.52</v>
      </c>
    </row>
    <row r="58" spans="2:24" ht="15" customHeight="1" thickBot="1" x14ac:dyDescent="0.35"/>
    <row r="59" spans="2:24" ht="15" customHeight="1" thickTop="1" x14ac:dyDescent="0.3">
      <c r="I59" s="71" t="s">
        <v>127</v>
      </c>
      <c r="J59" s="72"/>
      <c r="K59" s="72"/>
      <c r="L59" s="72"/>
      <c r="M59" s="72"/>
      <c r="N59" s="72"/>
      <c r="O59" s="72"/>
      <c r="P59" s="72"/>
      <c r="Q59" s="74"/>
      <c r="R59" s="75"/>
      <c r="S59" s="122">
        <v>2.8</v>
      </c>
      <c r="T59" s="73" t="s">
        <v>128</v>
      </c>
    </row>
    <row r="60" spans="2:24" ht="45" customHeight="1" x14ac:dyDescent="0.3">
      <c r="B60" s="65" t="s">
        <v>5</v>
      </c>
      <c r="C60" s="66" t="s">
        <v>47</v>
      </c>
      <c r="D60" s="66" t="s">
        <v>106</v>
      </c>
      <c r="E60" s="12" t="s">
        <v>107</v>
      </c>
      <c r="F60" s="12" t="s">
        <v>108</v>
      </c>
      <c r="G60" s="66" t="s">
        <v>109</v>
      </c>
      <c r="H60" s="66" t="s">
        <v>48</v>
      </c>
      <c r="I60" s="67" t="s">
        <v>49</v>
      </c>
      <c r="J60" s="18" t="s">
        <v>92</v>
      </c>
      <c r="K60" s="18" t="s">
        <v>93</v>
      </c>
      <c r="L60" s="18" t="s">
        <v>94</v>
      </c>
      <c r="M60" s="68" t="s">
        <v>95</v>
      </c>
      <c r="N60" s="68" t="s">
        <v>99</v>
      </c>
      <c r="O60" s="18" t="s">
        <v>100</v>
      </c>
      <c r="P60" s="68" t="s">
        <v>110</v>
      </c>
      <c r="Q60" s="68" t="s">
        <v>136</v>
      </c>
      <c r="R60" s="18" t="s">
        <v>137</v>
      </c>
      <c r="S60" s="68" t="s">
        <v>101</v>
      </c>
      <c r="T60" s="68" t="s">
        <v>111</v>
      </c>
      <c r="U60" s="18" t="s">
        <v>102</v>
      </c>
      <c r="V60" s="68" t="s">
        <v>135</v>
      </c>
      <c r="W60" s="68" t="s">
        <v>104</v>
      </c>
      <c r="X60" s="68" t="s">
        <v>105</v>
      </c>
    </row>
    <row r="61" spans="2:24" ht="20.25" hidden="1" customHeight="1" x14ac:dyDescent="0.3">
      <c r="B61" s="8" t="s">
        <v>153</v>
      </c>
      <c r="C61" s="8" t="s">
        <v>6</v>
      </c>
      <c r="D61" s="9">
        <f>D62</f>
        <v>0</v>
      </c>
      <c r="E61" s="21">
        <f>E62</f>
        <v>100</v>
      </c>
      <c r="F61" s="23">
        <f t="shared" ref="F61:F70" si="17">(D61*E61)/100</f>
        <v>0</v>
      </c>
      <c r="G61" s="21">
        <f>G62</f>
        <v>0</v>
      </c>
      <c r="H61" s="21">
        <v>0</v>
      </c>
      <c r="I61" s="4" t="s">
        <v>14</v>
      </c>
      <c r="J61" s="8">
        <f t="shared" ref="J61" si="18">IF(I61="TEE - Passagem Direta",1.8,IF(I61="União ou Redução",1.8,IF(I61="Conector Macho",1.6,IF(I61="Conector Fêmea",1.6,IF(I61="Conector Fêmea Giratório",1.6,IF(I61="Cotovelo",2.4,IF(I61="TEE - Passagem Angular",2.2,IF(I61="Cotovelo Macho",2.2,IF(I61="Cotovelo Fêmea",2.2,IF(I61="TEE - Entrada Central",3.2,IF(I61="F",3)))))))))))</f>
        <v>2.2000000000000002</v>
      </c>
      <c r="K61" s="21">
        <f t="shared" ref="K61:K70" si="19">IF(V61&gt;0,0.316*((O61*V61)/(1000*0.0000157))^-0.25,50)</f>
        <v>50</v>
      </c>
      <c r="L61" s="21">
        <f t="shared" ref="L61:L70" si="20">J61*O61/(1000*K61)</f>
        <v>5.2800000000000004E-4</v>
      </c>
      <c r="M61" s="21">
        <f t="shared" ref="M61:M70" si="21">SUM(H61+L61)</f>
        <v>5.2800000000000004E-4</v>
      </c>
      <c r="N61" s="8">
        <f>N62</f>
        <v>16</v>
      </c>
      <c r="O61" s="8" t="str">
        <f t="shared" ref="O61:O70" si="22">IF(N61=16,"12",IF(N61=20,"16",IF(N61=26,"20",IF(N61=32,"26"))))</f>
        <v>12</v>
      </c>
      <c r="P61" s="21">
        <f>P62</f>
        <v>2.8</v>
      </c>
      <c r="Q61" s="21">
        <v>0</v>
      </c>
      <c r="R61" s="21">
        <f t="shared" ref="R61" si="23">Q61/2</f>
        <v>0</v>
      </c>
      <c r="S61" s="64">
        <f>2273*1.8*M61*G61^1.82/O61^4.82</f>
        <v>0</v>
      </c>
      <c r="T61" s="21">
        <f>IFERROR(((P61-S61)+R61),"-")</f>
        <v>2.8</v>
      </c>
      <c r="U61" s="21">
        <f t="shared" ref="U61" si="24">(S61 - R61)/M61</f>
        <v>0</v>
      </c>
      <c r="V61" s="21">
        <f>354*G61/O61^2</f>
        <v>0</v>
      </c>
      <c r="W61" s="8" t="str">
        <f t="shared" ref="W61:W70" si="25">IF(V61&gt;20,"Recalcular Diâmetro",IF(V61&lt;20,"Velocidade OK"))</f>
        <v>Velocidade OK</v>
      </c>
      <c r="X61" s="21"/>
    </row>
    <row r="62" spans="2:24" ht="15" customHeight="1" x14ac:dyDescent="0.3">
      <c r="B62" s="113" t="s">
        <v>153</v>
      </c>
      <c r="C62" s="113" t="s">
        <v>7</v>
      </c>
      <c r="D62" s="114">
        <v>0</v>
      </c>
      <c r="E62" s="21">
        <v>100</v>
      </c>
      <c r="F62" s="23">
        <f t="shared" si="17"/>
        <v>0</v>
      </c>
      <c r="G62" s="21">
        <f>(F62/24000)</f>
        <v>0</v>
      </c>
      <c r="H62" s="117">
        <v>0</v>
      </c>
      <c r="I62" s="113"/>
      <c r="J62" s="8" t="b">
        <f>IF(I62="",FALSE,IF(I62="F",3,VLOOKUP(I62,DADOS!$A$4:$B$19,2,0)))</f>
        <v>0</v>
      </c>
      <c r="K62" s="21">
        <f t="shared" si="19"/>
        <v>50</v>
      </c>
      <c r="L62" s="21">
        <f t="shared" si="20"/>
        <v>0</v>
      </c>
      <c r="M62" s="21">
        <f t="shared" si="21"/>
        <v>0</v>
      </c>
      <c r="N62" s="113">
        <v>16</v>
      </c>
      <c r="O62" s="8" t="str">
        <f t="shared" si="22"/>
        <v>12</v>
      </c>
      <c r="P62" s="21">
        <f>S59</f>
        <v>2.8</v>
      </c>
      <c r="Q62" s="117">
        <v>0</v>
      </c>
      <c r="R62" s="21">
        <f>1.318*10^-2*Q62*(1.8-1)</f>
        <v>0</v>
      </c>
      <c r="S62" s="64">
        <f>2273*1.8*M62*G62^1.82/O62^4.82+S61-R62</f>
        <v>0</v>
      </c>
      <c r="T62" s="21">
        <f>IFERROR(((P62-S62)),"-")</f>
        <v>2.8</v>
      </c>
      <c r="U62" s="21" t="str">
        <f>IFERROR(((S62 - R62)/M62),"-")</f>
        <v>-</v>
      </c>
      <c r="V62" s="21">
        <f>354*G62/O62^2</f>
        <v>0</v>
      </c>
      <c r="W62" s="39" t="str">
        <f t="shared" si="25"/>
        <v>Velocidade OK</v>
      </c>
      <c r="X62" s="38" t="str">
        <f t="shared" ref="X62:X70" si="26">IF(C62&lt;1000,T62,"-")</f>
        <v>-</v>
      </c>
    </row>
    <row r="63" spans="2:24" ht="15" customHeight="1" x14ac:dyDescent="0.3">
      <c r="B63" s="113" t="s">
        <v>7</v>
      </c>
      <c r="C63" s="113" t="s">
        <v>21</v>
      </c>
      <c r="D63" s="114">
        <v>0</v>
      </c>
      <c r="E63" s="21">
        <v>100</v>
      </c>
      <c r="F63" s="23">
        <f t="shared" si="17"/>
        <v>0</v>
      </c>
      <c r="G63" s="21">
        <f t="shared" ref="G63:G70" si="27">(F63/24000)</f>
        <v>0</v>
      </c>
      <c r="H63" s="117">
        <v>0</v>
      </c>
      <c r="I63" s="113"/>
      <c r="J63" s="8" t="b">
        <f>IF(I63="",FALSE,IF(I63="F",3,VLOOKUP(I63,DADOS!$A$4:$B$19,2,0)))</f>
        <v>0</v>
      </c>
      <c r="K63" s="21">
        <f t="shared" si="19"/>
        <v>50</v>
      </c>
      <c r="L63" s="21">
        <f t="shared" si="20"/>
        <v>0</v>
      </c>
      <c r="M63" s="21">
        <f t="shared" si="21"/>
        <v>0</v>
      </c>
      <c r="N63" s="113">
        <v>16</v>
      </c>
      <c r="O63" s="8" t="str">
        <f t="shared" si="22"/>
        <v>12</v>
      </c>
      <c r="P63" s="21">
        <f>IFERROR(VLOOKUP(B63,$C$62:$W$70,18,FALSE),"-")</f>
        <v>2.8</v>
      </c>
      <c r="Q63" s="117">
        <v>0</v>
      </c>
      <c r="R63" s="21">
        <f t="shared" ref="R63:R70" si="28">1.318*10^-2*Q63*(1.8-1)</f>
        <v>0</v>
      </c>
      <c r="S63" s="64">
        <f t="shared" ref="S63:S70" si="29">2273*1.8*M63*G63^1.82/O63^4.82-R63</f>
        <v>0</v>
      </c>
      <c r="T63" s="21">
        <f>IFERROR(((P63-S63)),"-")</f>
        <v>2.8</v>
      </c>
      <c r="U63" s="21" t="str">
        <f t="shared" ref="U63:U70" si="30">IFERROR(((S63 - R63)/M63),"-")</f>
        <v>-</v>
      </c>
      <c r="V63" s="21">
        <f t="shared" ref="V63:V69" si="31">354*G63/O63^2</f>
        <v>0</v>
      </c>
      <c r="W63" s="39" t="str">
        <f t="shared" si="25"/>
        <v>Velocidade OK</v>
      </c>
      <c r="X63" s="21" t="str">
        <f t="shared" si="26"/>
        <v>-</v>
      </c>
    </row>
    <row r="64" spans="2:24" ht="15" customHeight="1" x14ac:dyDescent="0.3">
      <c r="B64" s="113" t="s">
        <v>21</v>
      </c>
      <c r="C64" s="113" t="s">
        <v>22</v>
      </c>
      <c r="D64" s="114">
        <v>0</v>
      </c>
      <c r="E64" s="21">
        <v>100</v>
      </c>
      <c r="F64" s="23">
        <f t="shared" si="17"/>
        <v>0</v>
      </c>
      <c r="G64" s="21">
        <f t="shared" si="27"/>
        <v>0</v>
      </c>
      <c r="H64" s="117">
        <v>0</v>
      </c>
      <c r="I64" s="113"/>
      <c r="J64" s="8" t="b">
        <f>IF(I64="",FALSE,IF(I64="F",3,VLOOKUP(I64,DADOS!$A$4:$B$19,2,0)))</f>
        <v>0</v>
      </c>
      <c r="K64" s="21">
        <f t="shared" si="19"/>
        <v>50</v>
      </c>
      <c r="L64" s="21">
        <f t="shared" si="20"/>
        <v>0</v>
      </c>
      <c r="M64" s="21">
        <f t="shared" si="21"/>
        <v>0</v>
      </c>
      <c r="N64" s="113">
        <v>16</v>
      </c>
      <c r="O64" s="8" t="str">
        <f t="shared" si="22"/>
        <v>12</v>
      </c>
      <c r="P64" s="21">
        <f t="shared" ref="P64:P70" si="32">IFERROR(VLOOKUP(B64,$C$62:$W$70,18,FALSE),"-")</f>
        <v>2.8</v>
      </c>
      <c r="Q64" s="117">
        <v>0</v>
      </c>
      <c r="R64" s="21">
        <f t="shared" si="28"/>
        <v>0</v>
      </c>
      <c r="S64" s="64">
        <f>2273*1.8*M64*G64^1.82/O64^4.82-R64</f>
        <v>0</v>
      </c>
      <c r="T64" s="21">
        <f t="shared" ref="T64:T70" si="33">IFERROR(((P64-S64)),"-")</f>
        <v>2.8</v>
      </c>
      <c r="U64" s="21" t="str">
        <f t="shared" si="30"/>
        <v>-</v>
      </c>
      <c r="V64" s="21">
        <f t="shared" si="31"/>
        <v>0</v>
      </c>
      <c r="W64" s="39" t="str">
        <f t="shared" si="25"/>
        <v>Velocidade OK</v>
      </c>
      <c r="X64" s="21" t="str">
        <f t="shared" si="26"/>
        <v>-</v>
      </c>
    </row>
    <row r="65" spans="2:24" ht="15" customHeight="1" x14ac:dyDescent="0.3">
      <c r="B65" s="113" t="s">
        <v>22</v>
      </c>
      <c r="C65" s="113" t="s">
        <v>23</v>
      </c>
      <c r="D65" s="114">
        <v>0</v>
      </c>
      <c r="E65" s="21">
        <v>100</v>
      </c>
      <c r="F65" s="23">
        <f t="shared" si="17"/>
        <v>0</v>
      </c>
      <c r="G65" s="21">
        <f t="shared" si="27"/>
        <v>0</v>
      </c>
      <c r="H65" s="117">
        <v>0</v>
      </c>
      <c r="I65" s="113"/>
      <c r="J65" s="8" t="b">
        <f>IF(I65="",FALSE,IF(I65="F",3,VLOOKUP(I65,DADOS!$A$4:$B$19,2,0)))</f>
        <v>0</v>
      </c>
      <c r="K65" s="21">
        <f t="shared" si="19"/>
        <v>50</v>
      </c>
      <c r="L65" s="21">
        <f t="shared" si="20"/>
        <v>0</v>
      </c>
      <c r="M65" s="21">
        <f t="shared" si="21"/>
        <v>0</v>
      </c>
      <c r="N65" s="113">
        <v>16</v>
      </c>
      <c r="O65" s="8" t="str">
        <f t="shared" si="22"/>
        <v>12</v>
      </c>
      <c r="P65" s="21">
        <f t="shared" si="32"/>
        <v>2.8</v>
      </c>
      <c r="Q65" s="117">
        <v>0</v>
      </c>
      <c r="R65" s="21">
        <f t="shared" si="28"/>
        <v>0</v>
      </c>
      <c r="S65" s="64">
        <f t="shared" si="29"/>
        <v>0</v>
      </c>
      <c r="T65" s="21">
        <f t="shared" si="33"/>
        <v>2.8</v>
      </c>
      <c r="U65" s="21" t="str">
        <f t="shared" si="30"/>
        <v>-</v>
      </c>
      <c r="V65" s="21">
        <f t="shared" si="31"/>
        <v>0</v>
      </c>
      <c r="W65" s="39" t="str">
        <f t="shared" si="25"/>
        <v>Velocidade OK</v>
      </c>
      <c r="X65" s="21" t="str">
        <f t="shared" si="26"/>
        <v>-</v>
      </c>
    </row>
    <row r="66" spans="2:24" ht="15" customHeight="1" x14ac:dyDescent="0.3">
      <c r="B66" s="113" t="s">
        <v>23</v>
      </c>
      <c r="C66" s="113" t="s">
        <v>24</v>
      </c>
      <c r="D66" s="114">
        <v>0</v>
      </c>
      <c r="E66" s="21">
        <v>100</v>
      </c>
      <c r="F66" s="23">
        <f t="shared" si="17"/>
        <v>0</v>
      </c>
      <c r="G66" s="21">
        <f t="shared" si="27"/>
        <v>0</v>
      </c>
      <c r="H66" s="117">
        <v>0</v>
      </c>
      <c r="I66" s="113"/>
      <c r="J66" s="8" t="b">
        <f>IF(I66="",FALSE,IF(I66="F",3,VLOOKUP(I66,DADOS!$A$4:$B$19,2,0)))</f>
        <v>0</v>
      </c>
      <c r="K66" s="21">
        <f t="shared" si="19"/>
        <v>50</v>
      </c>
      <c r="L66" s="21">
        <f t="shared" si="20"/>
        <v>0</v>
      </c>
      <c r="M66" s="21">
        <f t="shared" si="21"/>
        <v>0</v>
      </c>
      <c r="N66" s="113">
        <v>16</v>
      </c>
      <c r="O66" s="8" t="str">
        <f t="shared" si="22"/>
        <v>12</v>
      </c>
      <c r="P66" s="21">
        <f t="shared" si="32"/>
        <v>2.8</v>
      </c>
      <c r="Q66" s="117">
        <v>0</v>
      </c>
      <c r="R66" s="21">
        <f t="shared" si="28"/>
        <v>0</v>
      </c>
      <c r="S66" s="64">
        <f t="shared" si="29"/>
        <v>0</v>
      </c>
      <c r="T66" s="21">
        <f t="shared" si="33"/>
        <v>2.8</v>
      </c>
      <c r="U66" s="21" t="str">
        <f t="shared" si="30"/>
        <v>-</v>
      </c>
      <c r="V66" s="21">
        <f t="shared" si="31"/>
        <v>0</v>
      </c>
      <c r="W66" s="39" t="str">
        <f t="shared" si="25"/>
        <v>Velocidade OK</v>
      </c>
      <c r="X66" s="21" t="str">
        <f t="shared" si="26"/>
        <v>-</v>
      </c>
    </row>
    <row r="67" spans="2:24" ht="15" customHeight="1" x14ac:dyDescent="0.3">
      <c r="B67" s="113" t="s">
        <v>24</v>
      </c>
      <c r="C67" s="113" t="s">
        <v>25</v>
      </c>
      <c r="D67" s="114">
        <v>0</v>
      </c>
      <c r="E67" s="21">
        <v>100</v>
      </c>
      <c r="F67" s="23">
        <f t="shared" si="17"/>
        <v>0</v>
      </c>
      <c r="G67" s="21">
        <f t="shared" si="27"/>
        <v>0</v>
      </c>
      <c r="H67" s="117">
        <v>0</v>
      </c>
      <c r="I67" s="113"/>
      <c r="J67" s="8" t="b">
        <f>IF(I67="",FALSE,IF(I67="F",3,VLOOKUP(I67,DADOS!$A$4:$B$19,2,0)))</f>
        <v>0</v>
      </c>
      <c r="K67" s="21">
        <f t="shared" si="19"/>
        <v>50</v>
      </c>
      <c r="L67" s="21">
        <f t="shared" si="20"/>
        <v>0</v>
      </c>
      <c r="M67" s="21">
        <f t="shared" si="21"/>
        <v>0</v>
      </c>
      <c r="N67" s="113">
        <v>16</v>
      </c>
      <c r="O67" s="8" t="str">
        <f t="shared" si="22"/>
        <v>12</v>
      </c>
      <c r="P67" s="21">
        <f t="shared" si="32"/>
        <v>2.8</v>
      </c>
      <c r="Q67" s="117">
        <v>0</v>
      </c>
      <c r="R67" s="21">
        <f t="shared" si="28"/>
        <v>0</v>
      </c>
      <c r="S67" s="64">
        <f t="shared" si="29"/>
        <v>0</v>
      </c>
      <c r="T67" s="21">
        <f t="shared" si="33"/>
        <v>2.8</v>
      </c>
      <c r="U67" s="21" t="str">
        <f t="shared" si="30"/>
        <v>-</v>
      </c>
      <c r="V67" s="21">
        <f t="shared" si="31"/>
        <v>0</v>
      </c>
      <c r="W67" s="39" t="str">
        <f t="shared" si="25"/>
        <v>Velocidade OK</v>
      </c>
      <c r="X67" s="21" t="str">
        <f t="shared" si="26"/>
        <v>-</v>
      </c>
    </row>
    <row r="68" spans="2:24" ht="15" customHeight="1" x14ac:dyDescent="0.3">
      <c r="B68" s="113" t="s">
        <v>25</v>
      </c>
      <c r="C68" s="113" t="s">
        <v>26</v>
      </c>
      <c r="D68" s="114">
        <v>0</v>
      </c>
      <c r="E68" s="21">
        <v>100</v>
      </c>
      <c r="F68" s="23">
        <f t="shared" si="17"/>
        <v>0</v>
      </c>
      <c r="G68" s="21">
        <f t="shared" si="27"/>
        <v>0</v>
      </c>
      <c r="H68" s="117">
        <v>0</v>
      </c>
      <c r="I68" s="113"/>
      <c r="J68" s="8" t="b">
        <f>IF(I68="",FALSE,IF(I68="F",3,VLOOKUP(I68,DADOS!$A$4:$B$19,2,0)))</f>
        <v>0</v>
      </c>
      <c r="K68" s="21">
        <f t="shared" si="19"/>
        <v>50</v>
      </c>
      <c r="L68" s="21">
        <f t="shared" si="20"/>
        <v>0</v>
      </c>
      <c r="M68" s="21">
        <f t="shared" si="21"/>
        <v>0</v>
      </c>
      <c r="N68" s="113">
        <v>16</v>
      </c>
      <c r="O68" s="8" t="str">
        <f t="shared" si="22"/>
        <v>12</v>
      </c>
      <c r="P68" s="21">
        <f t="shared" si="32"/>
        <v>2.8</v>
      </c>
      <c r="Q68" s="117">
        <v>0</v>
      </c>
      <c r="R68" s="21">
        <f t="shared" si="28"/>
        <v>0</v>
      </c>
      <c r="S68" s="64">
        <f t="shared" si="29"/>
        <v>0</v>
      </c>
      <c r="T68" s="21">
        <f t="shared" si="33"/>
        <v>2.8</v>
      </c>
      <c r="U68" s="21" t="str">
        <f t="shared" si="30"/>
        <v>-</v>
      </c>
      <c r="V68" s="21">
        <f t="shared" si="31"/>
        <v>0</v>
      </c>
      <c r="W68" s="39" t="str">
        <f t="shared" si="25"/>
        <v>Velocidade OK</v>
      </c>
      <c r="X68" s="21" t="str">
        <f t="shared" si="26"/>
        <v>-</v>
      </c>
    </row>
    <row r="69" spans="2:24" ht="15" customHeight="1" x14ac:dyDescent="0.3">
      <c r="B69" s="113" t="s">
        <v>26</v>
      </c>
      <c r="C69" s="113" t="s">
        <v>27</v>
      </c>
      <c r="D69" s="114">
        <v>0</v>
      </c>
      <c r="E69" s="21">
        <v>100</v>
      </c>
      <c r="F69" s="23">
        <f t="shared" si="17"/>
        <v>0</v>
      </c>
      <c r="G69" s="21">
        <f t="shared" si="27"/>
        <v>0</v>
      </c>
      <c r="H69" s="117">
        <v>0</v>
      </c>
      <c r="I69" s="113"/>
      <c r="J69" s="8" t="b">
        <f>IF(I69="",FALSE,IF(I69="F",3,VLOOKUP(I69,DADOS!$A$4:$B$19,2,0)))</f>
        <v>0</v>
      </c>
      <c r="K69" s="21">
        <f t="shared" si="19"/>
        <v>50</v>
      </c>
      <c r="L69" s="21">
        <f t="shared" si="20"/>
        <v>0</v>
      </c>
      <c r="M69" s="21">
        <f t="shared" si="21"/>
        <v>0</v>
      </c>
      <c r="N69" s="113">
        <v>16</v>
      </c>
      <c r="O69" s="8" t="str">
        <f t="shared" si="22"/>
        <v>12</v>
      </c>
      <c r="P69" s="21">
        <f t="shared" si="32"/>
        <v>2.8</v>
      </c>
      <c r="Q69" s="117">
        <v>0</v>
      </c>
      <c r="R69" s="21">
        <f t="shared" si="28"/>
        <v>0</v>
      </c>
      <c r="S69" s="64">
        <f t="shared" si="29"/>
        <v>0</v>
      </c>
      <c r="T69" s="21">
        <f t="shared" si="33"/>
        <v>2.8</v>
      </c>
      <c r="U69" s="21" t="str">
        <f t="shared" si="30"/>
        <v>-</v>
      </c>
      <c r="V69" s="21">
        <f t="shared" si="31"/>
        <v>0</v>
      </c>
      <c r="W69" s="39" t="str">
        <f t="shared" si="25"/>
        <v>Velocidade OK</v>
      </c>
      <c r="X69" s="21" t="str">
        <f t="shared" si="26"/>
        <v>-</v>
      </c>
    </row>
    <row r="70" spans="2:24" ht="15" customHeight="1" x14ac:dyDescent="0.3">
      <c r="B70" s="113" t="s">
        <v>27</v>
      </c>
      <c r="C70" s="113" t="s">
        <v>28</v>
      </c>
      <c r="D70" s="114">
        <v>0</v>
      </c>
      <c r="E70" s="21">
        <v>100</v>
      </c>
      <c r="F70" s="23">
        <f t="shared" si="17"/>
        <v>0</v>
      </c>
      <c r="G70" s="21">
        <f t="shared" si="27"/>
        <v>0</v>
      </c>
      <c r="H70" s="117">
        <v>0</v>
      </c>
      <c r="I70" s="113"/>
      <c r="J70" s="8" t="b">
        <f>IF(I70="",FALSE,IF(I70="F",3,VLOOKUP(I70,DADOS!$A$4:$B$19,2,0)))</f>
        <v>0</v>
      </c>
      <c r="K70" s="21">
        <f t="shared" si="19"/>
        <v>50</v>
      </c>
      <c r="L70" s="21">
        <f t="shared" si="20"/>
        <v>0</v>
      </c>
      <c r="M70" s="21">
        <f t="shared" si="21"/>
        <v>0</v>
      </c>
      <c r="N70" s="113">
        <v>16</v>
      </c>
      <c r="O70" s="8" t="str">
        <f t="shared" si="22"/>
        <v>12</v>
      </c>
      <c r="P70" s="21">
        <f t="shared" si="32"/>
        <v>2.8</v>
      </c>
      <c r="Q70" s="117">
        <v>0</v>
      </c>
      <c r="R70" s="21">
        <f t="shared" si="28"/>
        <v>0</v>
      </c>
      <c r="S70" s="64">
        <f t="shared" si="29"/>
        <v>0</v>
      </c>
      <c r="T70" s="21">
        <f t="shared" si="33"/>
        <v>2.8</v>
      </c>
      <c r="U70" s="21" t="str">
        <f t="shared" si="30"/>
        <v>-</v>
      </c>
      <c r="V70" s="21">
        <f>354*G70/O70^2</f>
        <v>0</v>
      </c>
      <c r="W70" s="39" t="str">
        <f t="shared" si="25"/>
        <v>Velocidade OK</v>
      </c>
      <c r="X70" s="21" t="str">
        <f t="shared" si="26"/>
        <v>-</v>
      </c>
    </row>
    <row r="71" spans="2:24" ht="15" customHeight="1" x14ac:dyDescent="0.3"/>
    <row r="72" spans="2:24" ht="15" customHeight="1" x14ac:dyDescent="0.3"/>
  </sheetData>
  <sheetProtection algorithmName="SHA-512" hashValue="KECqDOUP90TgIIaCNvGbfleXmLWna9FYmdJtgBytquMGs7k7m462TFkpf288GDhRXiJCDikGDJ1bj/UiJ0b3vQ==" saltValue="EJudchNjLe1Er3PB0CgKMw==" spinCount="100000" sheet="1" objects="1" scenarios="1" selectLockedCells="1"/>
  <dataConsolidate function="min"/>
  <mergeCells count="10">
    <mergeCell ref="V2:V3"/>
    <mergeCell ref="W2:W3"/>
    <mergeCell ref="X2:X3"/>
    <mergeCell ref="Z32:Z34"/>
    <mergeCell ref="H9:I9"/>
    <mergeCell ref="B57:C57"/>
    <mergeCell ref="H57:I57"/>
    <mergeCell ref="B7:C7"/>
    <mergeCell ref="B9:C9"/>
    <mergeCell ref="C2:T3"/>
  </mergeCells>
  <conditionalFormatting sqref="S1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3:S5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4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2:S7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3:W53">
    <cfRule type="cellIs" dxfId="3" priority="3" operator="equal">
      <formula>"Recalcular Diâmetro"</formula>
    </cfRule>
    <cfRule type="containsText" dxfId="2" priority="10" operator="containsText" text="VELOCIDADE OK">
      <formula>NOT(ISERROR(SEARCH("VELOCIDADE OK",W13)))</formula>
    </cfRule>
  </conditionalFormatting>
  <conditionalFormatting sqref="W62:W70">
    <cfRule type="cellIs" dxfId="1" priority="1" operator="equal">
      <formula>"Recalcular Diâmetro"</formula>
    </cfRule>
    <cfRule type="containsText" dxfId="0" priority="2" operator="containsText" text="VELOCIDADE OK">
      <formula>NOT(ISERROR(SEARCH("VELOCIDADE OK",W62)))</formula>
    </cfRule>
  </conditionalFormatting>
  <dataValidations count="5">
    <dataValidation type="list" allowBlank="1" showInputMessage="1" showErrorMessage="1" sqref="D7" xr:uid="{21C2F3BB-3FCE-45CF-BCF8-803B8A7419DF}">
      <formula1>"SIM,NÃO"</formula1>
    </dataValidation>
    <dataValidation type="list" operator="greaterThan" allowBlank="1" showInputMessage="1" showErrorMessage="1" sqref="N14:N53 N61" xr:uid="{30D69C57-CD09-49E0-BEDA-66928E5BDB02}">
      <formula1>"16,20,26,32,40,50,63"</formula1>
    </dataValidation>
    <dataValidation type="whole" operator="greaterThanOrEqual" allowBlank="1" showInputMessage="1" showErrorMessage="1" sqref="D61:D70 D13:D54" xr:uid="{B69B8B98-EE2F-4916-A791-F53FFFBFA048}">
      <formula1>0</formula1>
    </dataValidation>
    <dataValidation type="decimal" operator="greaterThanOrEqual" allowBlank="1" showInputMessage="1" showErrorMessage="1" sqref="P13 H13:H54 J12:L54 H61:H70 J61:L70" xr:uid="{F9D97503-F64D-40D5-BE98-E92BCF4209CB}">
      <formula1>0</formula1>
    </dataValidation>
    <dataValidation type="decimal" operator="greaterThan" allowBlank="1" showInputMessage="1" showErrorMessage="1" sqref="N54 O61:O70 O12:O54" xr:uid="{C093E5E2-6F5E-4573-AC7C-AD589F9BD0E5}">
      <formula1>0</formula1>
    </dataValidation>
  </dataValidations>
  <hyperlinks>
    <hyperlink ref="V2:V3" location="GÁS!C21" display="INICIO" xr:uid="{70A56263-2C77-4521-94B3-36A7E561143C}"/>
    <hyperlink ref="W2:W3" location="'DIMENSIONADOR - GN'!D7" display="GN" xr:uid="{D2911A35-EF9F-4DF3-BCF8-520CEC261DE3}"/>
    <hyperlink ref="X2:X3" location="REFERÊNCIA!N11" display="REFERÊNCIA" xr:uid="{CDB2FAC7-E170-44F6-B3CF-B3A19D2ED44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0FFD0BB-0AFA-41B8-B489-E3594C84EEB4}">
          <x14:formula1>
            <xm:f>DADOS!$H$4:$H$10</xm:f>
          </x14:formula1>
          <xm:sqref>N13 N62:N70</xm:sqref>
        </x14:dataValidation>
        <x14:dataValidation type="list" allowBlank="1" showInputMessage="1" showErrorMessage="1" xr:uid="{A044A21F-85FA-464D-A12E-2C95CB88966F}">
          <x14:formula1>
            <xm:f>DADOS!$A$4:$A$16</xm:f>
          </x14:formula1>
          <xm:sqref>I12 I61</xm:sqref>
        </x14:dataValidation>
        <x14:dataValidation type="list" allowBlank="1" showInputMessage="1" showErrorMessage="1" xr:uid="{09DEA871-DFD0-4B2C-89F8-0CD40D971D4D}">
          <x14:formula1>
            <xm:f>DADOS!$A$4:$A$19</xm:f>
          </x14:formula1>
          <xm:sqref>I13:I53 I62:I70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E6ED-DD7E-4FC9-B65D-CA24539DEFB8}">
  <sheetPr codeName="Planilha3"/>
  <dimension ref="A2:I45"/>
  <sheetViews>
    <sheetView showGridLines="0" zoomScale="85" zoomScaleNormal="85" workbookViewId="0">
      <selection activeCell="L23" sqref="L23"/>
    </sheetView>
  </sheetViews>
  <sheetFormatPr defaultRowHeight="14.4" x14ac:dyDescent="0.3"/>
  <cols>
    <col min="1" max="1" width="44.21875" customWidth="1"/>
    <col min="5" max="5" width="34.21875" bestFit="1" customWidth="1"/>
    <col min="6" max="6" width="17.5546875" customWidth="1"/>
    <col min="8" max="9" width="12.77734375" customWidth="1"/>
  </cols>
  <sheetData>
    <row r="2" spans="1:9" x14ac:dyDescent="0.3">
      <c r="H2" s="99" t="s">
        <v>98</v>
      </c>
      <c r="I2" s="100"/>
    </row>
    <row r="3" spans="1:9" x14ac:dyDescent="0.3">
      <c r="A3" s="6" t="s">
        <v>19</v>
      </c>
      <c r="B3" s="7" t="s">
        <v>20</v>
      </c>
      <c r="E3" s="6" t="s">
        <v>90</v>
      </c>
      <c r="F3" s="7" t="s">
        <v>91</v>
      </c>
      <c r="H3" s="6" t="s">
        <v>97</v>
      </c>
      <c r="I3" s="19" t="s">
        <v>96</v>
      </c>
    </row>
    <row r="4" spans="1:9" x14ac:dyDescent="0.3">
      <c r="A4" s="15" t="s">
        <v>18</v>
      </c>
      <c r="B4" s="14">
        <v>1.8</v>
      </c>
      <c r="E4" s="16" t="s">
        <v>50</v>
      </c>
      <c r="F4" s="81">
        <v>9000</v>
      </c>
      <c r="H4" s="16">
        <v>16</v>
      </c>
      <c r="I4" s="16">
        <v>12</v>
      </c>
    </row>
    <row r="5" spans="1:9" x14ac:dyDescent="0.3">
      <c r="A5" s="14" t="s">
        <v>9</v>
      </c>
      <c r="B5" s="14">
        <v>1.6</v>
      </c>
      <c r="E5" s="16" t="s">
        <v>51</v>
      </c>
      <c r="F5" s="16">
        <v>12000</v>
      </c>
      <c r="H5" s="16">
        <v>20</v>
      </c>
      <c r="I5" s="16">
        <v>16</v>
      </c>
    </row>
    <row r="6" spans="1:9" x14ac:dyDescent="0.3">
      <c r="A6" s="14" t="s">
        <v>10</v>
      </c>
      <c r="B6" s="14">
        <v>1.6</v>
      </c>
      <c r="E6" s="16" t="s">
        <v>52</v>
      </c>
      <c r="F6" s="81">
        <v>12000</v>
      </c>
      <c r="H6" s="16">
        <v>26</v>
      </c>
      <c r="I6" s="16">
        <v>20</v>
      </c>
    </row>
    <row r="7" spans="1:9" x14ac:dyDescent="0.3">
      <c r="A7" s="14" t="s">
        <v>11</v>
      </c>
      <c r="B7" s="14">
        <v>1.6</v>
      </c>
      <c r="E7" s="16" t="s">
        <v>53</v>
      </c>
      <c r="F7" s="81">
        <v>15000</v>
      </c>
      <c r="H7" s="16">
        <v>32</v>
      </c>
      <c r="I7" s="16">
        <v>26</v>
      </c>
    </row>
    <row r="8" spans="1:9" x14ac:dyDescent="0.3">
      <c r="A8" s="14" t="s">
        <v>12</v>
      </c>
      <c r="B8" s="14">
        <v>2.4</v>
      </c>
      <c r="E8" s="16" t="s">
        <v>54</v>
      </c>
      <c r="F8" s="81">
        <v>18000</v>
      </c>
      <c r="H8" s="16">
        <v>40</v>
      </c>
      <c r="I8" s="16">
        <v>32</v>
      </c>
    </row>
    <row r="9" spans="1:9" x14ac:dyDescent="0.3">
      <c r="A9" s="15" t="s">
        <v>13</v>
      </c>
      <c r="B9" s="14">
        <v>2.2000000000000002</v>
      </c>
      <c r="E9" s="16" t="s">
        <v>55</v>
      </c>
      <c r="F9" s="16">
        <v>18000</v>
      </c>
      <c r="H9" s="16">
        <v>50</v>
      </c>
      <c r="I9" s="16">
        <v>41</v>
      </c>
    </row>
    <row r="10" spans="1:9" x14ac:dyDescent="0.3">
      <c r="A10" s="14" t="s">
        <v>14</v>
      </c>
      <c r="B10" s="14">
        <v>2.2000000000000002</v>
      </c>
      <c r="E10" s="16" t="s">
        <v>56</v>
      </c>
      <c r="F10" s="81">
        <v>22000</v>
      </c>
      <c r="H10" s="16">
        <v>63</v>
      </c>
      <c r="I10" s="16">
        <v>51</v>
      </c>
    </row>
    <row r="11" spans="1:9" x14ac:dyDescent="0.3">
      <c r="A11" s="14" t="s">
        <v>16</v>
      </c>
      <c r="B11" s="14">
        <v>2.4</v>
      </c>
      <c r="E11" s="16" t="s">
        <v>57</v>
      </c>
      <c r="F11" s="16">
        <v>22500</v>
      </c>
    </row>
    <row r="12" spans="1:9" x14ac:dyDescent="0.3">
      <c r="A12" s="14" t="s">
        <v>160</v>
      </c>
      <c r="B12" s="14">
        <v>2.2000000000000002</v>
      </c>
      <c r="E12" s="16" t="s">
        <v>58</v>
      </c>
      <c r="F12" s="81">
        <v>26500</v>
      </c>
    </row>
    <row r="13" spans="1:9" x14ac:dyDescent="0.3">
      <c r="A13" s="14" t="s">
        <v>161</v>
      </c>
      <c r="B13" s="14">
        <v>2.2000000000000002</v>
      </c>
      <c r="E13" s="16" t="s">
        <v>59</v>
      </c>
      <c r="F13" s="16">
        <v>30000</v>
      </c>
    </row>
    <row r="14" spans="1:9" x14ac:dyDescent="0.3">
      <c r="A14" s="14" t="s">
        <v>15</v>
      </c>
      <c r="B14" s="14">
        <v>1.8</v>
      </c>
      <c r="E14" s="16" t="s">
        <v>60</v>
      </c>
      <c r="F14" s="16">
        <v>35500</v>
      </c>
    </row>
    <row r="15" spans="1:9" x14ac:dyDescent="0.3">
      <c r="A15" s="14" t="s">
        <v>164</v>
      </c>
      <c r="B15" s="14">
        <v>1.8</v>
      </c>
      <c r="E15" s="16" t="s">
        <v>61</v>
      </c>
      <c r="F15" s="81">
        <v>36000</v>
      </c>
    </row>
    <row r="16" spans="1:9" x14ac:dyDescent="0.3">
      <c r="A16" s="14" t="s">
        <v>165</v>
      </c>
      <c r="B16" s="14">
        <v>1.8</v>
      </c>
      <c r="E16" s="16" t="s">
        <v>62</v>
      </c>
      <c r="F16" s="81">
        <v>45500</v>
      </c>
    </row>
    <row r="17" spans="1:6" x14ac:dyDescent="0.3">
      <c r="A17" s="14" t="s">
        <v>17</v>
      </c>
      <c r="B17" s="14">
        <v>3.2</v>
      </c>
      <c r="E17" s="16" t="s">
        <v>63</v>
      </c>
      <c r="F17" s="16">
        <v>48000</v>
      </c>
    </row>
    <row r="18" spans="1:6" x14ac:dyDescent="0.3">
      <c r="A18" s="14" t="s">
        <v>163</v>
      </c>
      <c r="B18" s="14">
        <v>3</v>
      </c>
      <c r="E18" s="16" t="s">
        <v>64</v>
      </c>
      <c r="F18" s="81">
        <v>49000</v>
      </c>
    </row>
    <row r="19" spans="1:6" x14ac:dyDescent="0.3">
      <c r="A19" s="14" t="s">
        <v>162</v>
      </c>
      <c r="B19" s="14">
        <v>3</v>
      </c>
      <c r="E19" s="16" t="s">
        <v>65</v>
      </c>
      <c r="F19" s="16">
        <v>51000</v>
      </c>
    </row>
    <row r="20" spans="1:6" x14ac:dyDescent="0.3">
      <c r="E20" s="16" t="s">
        <v>66</v>
      </c>
      <c r="F20" s="16">
        <v>51000</v>
      </c>
    </row>
    <row r="21" spans="1:6" x14ac:dyDescent="0.3">
      <c r="E21" s="16" t="s">
        <v>67</v>
      </c>
      <c r="F21" s="16">
        <v>51000</v>
      </c>
    </row>
    <row r="22" spans="1:6" x14ac:dyDescent="0.3">
      <c r="E22" s="16" t="s">
        <v>68</v>
      </c>
      <c r="F22" s="16">
        <v>51000</v>
      </c>
    </row>
    <row r="23" spans="1:6" x14ac:dyDescent="0.3">
      <c r="E23" s="16" t="s">
        <v>69</v>
      </c>
      <c r="F23" s="81">
        <v>4360</v>
      </c>
    </row>
    <row r="24" spans="1:6" x14ac:dyDescent="0.3">
      <c r="E24" s="16" t="s">
        <v>70</v>
      </c>
      <c r="F24" s="81">
        <v>6003</v>
      </c>
    </row>
    <row r="25" spans="1:6" x14ac:dyDescent="0.3">
      <c r="E25" s="16" t="s">
        <v>179</v>
      </c>
      <c r="F25" s="81">
        <v>7078</v>
      </c>
    </row>
    <row r="26" spans="1:6" x14ac:dyDescent="0.3">
      <c r="E26" s="16" t="s">
        <v>72</v>
      </c>
      <c r="F26" s="81">
        <v>8153</v>
      </c>
    </row>
    <row r="27" spans="1:6" x14ac:dyDescent="0.3">
      <c r="E27" s="16" t="s">
        <v>73</v>
      </c>
      <c r="F27" s="81">
        <v>10501</v>
      </c>
    </row>
    <row r="28" spans="1:6" x14ac:dyDescent="0.3">
      <c r="E28" s="16" t="s">
        <v>74</v>
      </c>
      <c r="F28" s="16">
        <v>13500</v>
      </c>
    </row>
    <row r="29" spans="1:6" x14ac:dyDescent="0.3">
      <c r="E29" s="16" t="s">
        <v>75</v>
      </c>
      <c r="F29" s="81">
        <v>14998</v>
      </c>
    </row>
    <row r="30" spans="1:6" x14ac:dyDescent="0.3">
      <c r="E30" s="16" t="s">
        <v>76</v>
      </c>
      <c r="F30" s="16">
        <v>3000</v>
      </c>
    </row>
    <row r="31" spans="1:6" x14ac:dyDescent="0.3">
      <c r="E31" s="16" t="s">
        <v>77</v>
      </c>
      <c r="F31" s="82">
        <v>2494</v>
      </c>
    </row>
    <row r="32" spans="1:6" x14ac:dyDescent="0.3">
      <c r="E32" s="16" t="s">
        <v>78</v>
      </c>
      <c r="F32" s="82">
        <v>3096</v>
      </c>
    </row>
    <row r="33" spans="5:6" x14ac:dyDescent="0.3">
      <c r="E33" s="16" t="s">
        <v>79</v>
      </c>
      <c r="F33" s="81">
        <v>6966</v>
      </c>
    </row>
    <row r="34" spans="5:6" x14ac:dyDescent="0.3">
      <c r="E34" s="16" t="s">
        <v>80</v>
      </c>
      <c r="F34" s="81">
        <v>9288</v>
      </c>
    </row>
    <row r="35" spans="5:6" x14ac:dyDescent="0.3">
      <c r="E35" s="16" t="s">
        <v>81</v>
      </c>
      <c r="F35" s="81">
        <v>9976</v>
      </c>
    </row>
    <row r="36" spans="5:6" x14ac:dyDescent="0.3">
      <c r="E36" s="16" t="s">
        <v>82</v>
      </c>
      <c r="F36" s="81">
        <v>13390</v>
      </c>
    </row>
    <row r="37" spans="5:6" x14ac:dyDescent="0.3">
      <c r="E37" s="16" t="s">
        <v>83</v>
      </c>
      <c r="F37" s="81">
        <v>9976</v>
      </c>
    </row>
    <row r="38" spans="5:6" x14ac:dyDescent="0.3">
      <c r="E38" s="16" t="s">
        <v>84</v>
      </c>
      <c r="F38" s="81">
        <v>13390</v>
      </c>
    </row>
    <row r="39" spans="5:6" x14ac:dyDescent="0.3">
      <c r="E39" s="16" t="s">
        <v>85</v>
      </c>
      <c r="F39" s="81">
        <v>3010</v>
      </c>
    </row>
    <row r="40" spans="5:6" x14ac:dyDescent="0.3">
      <c r="E40" s="16" t="s">
        <v>86</v>
      </c>
      <c r="F40" s="16">
        <v>5500</v>
      </c>
    </row>
    <row r="41" spans="5:6" x14ac:dyDescent="0.3">
      <c r="E41" s="16" t="s">
        <v>87</v>
      </c>
      <c r="F41" s="16">
        <v>500</v>
      </c>
    </row>
    <row r="42" spans="5:6" x14ac:dyDescent="0.3">
      <c r="E42" s="16" t="s">
        <v>88</v>
      </c>
      <c r="F42" s="16">
        <v>13000</v>
      </c>
    </row>
    <row r="43" spans="5:6" x14ac:dyDescent="0.3">
      <c r="E43" s="16" t="s">
        <v>89</v>
      </c>
      <c r="F43" s="81">
        <v>6020</v>
      </c>
    </row>
    <row r="45" spans="5:6" x14ac:dyDescent="0.3">
      <c r="F45" s="3" t="s">
        <v>180</v>
      </c>
    </row>
  </sheetData>
  <mergeCells count="1">
    <mergeCell ref="H2:I2"/>
  </mergeCells>
  <phoneticPr fontId="7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CBF6-9813-446B-9209-6256D86ADDEE}">
  <sheetPr codeName="Planilha7">
    <tabColor theme="4"/>
  </sheetPr>
  <dimension ref="A1:AD51"/>
  <sheetViews>
    <sheetView showGridLines="0" zoomScale="85" zoomScaleNormal="85" workbookViewId="0">
      <selection activeCell="N11" sqref="N11:O11"/>
    </sheetView>
  </sheetViews>
  <sheetFormatPr defaultColWidth="0" defaultRowHeight="14.4" zeroHeight="1" x14ac:dyDescent="0.3"/>
  <cols>
    <col min="1" max="2" width="16.77734375" customWidth="1"/>
    <col min="3" max="3" width="5.77734375" customWidth="1"/>
    <col min="4" max="5" width="16.77734375" customWidth="1"/>
    <col min="6" max="6" width="5.77734375" customWidth="1"/>
    <col min="7" max="8" width="16.77734375" customWidth="1"/>
    <col min="9" max="9" width="5.77734375" customWidth="1"/>
    <col min="10" max="19" width="16.77734375" customWidth="1"/>
    <col min="20" max="25" width="16.77734375" hidden="1" customWidth="1"/>
    <col min="26" max="30" width="0" hidden="1" customWidth="1"/>
    <col min="31" max="16384" width="8.88671875" hidden="1"/>
  </cols>
  <sheetData>
    <row r="1" spans="1:19" x14ac:dyDescent="0.3"/>
    <row r="2" spans="1:19" ht="18" customHeight="1" x14ac:dyDescent="0.3">
      <c r="D2" s="103" t="s">
        <v>8</v>
      </c>
      <c r="E2" s="103"/>
      <c r="F2" s="103"/>
      <c r="G2" s="103"/>
      <c r="H2" s="103"/>
      <c r="I2" s="103"/>
      <c r="J2" s="103"/>
      <c r="K2" s="103"/>
      <c r="L2" s="103"/>
      <c r="N2" s="104" t="s">
        <v>0</v>
      </c>
      <c r="O2" s="105"/>
      <c r="P2" s="104" t="s">
        <v>158</v>
      </c>
      <c r="Q2" s="105"/>
      <c r="R2" s="104" t="s">
        <v>159</v>
      </c>
      <c r="S2" s="105"/>
    </row>
    <row r="3" spans="1:19" ht="18" customHeight="1" x14ac:dyDescent="0.3">
      <c r="D3" s="103"/>
      <c r="E3" s="103"/>
      <c r="F3" s="103"/>
      <c r="G3" s="103"/>
      <c r="H3" s="103"/>
      <c r="I3" s="103"/>
      <c r="J3" s="103"/>
      <c r="K3" s="103"/>
      <c r="L3" s="103"/>
      <c r="N3" s="104"/>
      <c r="O3" s="105"/>
      <c r="P3" s="104"/>
      <c r="Q3" s="105"/>
      <c r="R3" s="104"/>
      <c r="S3" s="105"/>
    </row>
    <row r="4" spans="1:19" x14ac:dyDescent="0.3"/>
    <row r="5" spans="1:19" x14ac:dyDescent="0.3">
      <c r="A5" s="3"/>
      <c r="B5" s="3"/>
    </row>
    <row r="6" spans="1:19" x14ac:dyDescent="0.3">
      <c r="A6" s="3"/>
      <c r="B6" s="3"/>
    </row>
    <row r="7" spans="1:19" ht="14.4" customHeight="1" x14ac:dyDescent="0.3">
      <c r="A7" s="3"/>
      <c r="B7" s="3"/>
      <c r="N7" s="107" t="s">
        <v>134</v>
      </c>
      <c r="O7" s="107"/>
      <c r="P7" s="107"/>
      <c r="Q7" s="107"/>
    </row>
    <row r="8" spans="1:19" x14ac:dyDescent="0.3">
      <c r="A8" s="3"/>
      <c r="B8" s="3"/>
      <c r="N8" s="107"/>
      <c r="O8" s="107"/>
      <c r="P8" s="107"/>
      <c r="Q8" s="107"/>
    </row>
    <row r="9" spans="1:19" x14ac:dyDescent="0.3"/>
    <row r="10" spans="1:19" x14ac:dyDescent="0.3">
      <c r="N10" s="101" t="s">
        <v>90</v>
      </c>
      <c r="O10" s="102"/>
      <c r="P10" s="32" t="s">
        <v>133</v>
      </c>
      <c r="Q10" s="33" t="s">
        <v>91</v>
      </c>
    </row>
    <row r="11" spans="1:19" x14ac:dyDescent="0.3">
      <c r="N11" s="123"/>
      <c r="O11" s="123"/>
      <c r="P11" s="113"/>
      <c r="Q11" s="31" t="str">
        <f>IFERROR(VLOOKUP(N11,DADOS!$E$4:$F$43,2,0)*P11,"")</f>
        <v/>
      </c>
    </row>
    <row r="12" spans="1:19" x14ac:dyDescent="0.3">
      <c r="N12" s="123"/>
      <c r="O12" s="123"/>
      <c r="P12" s="113"/>
      <c r="Q12" s="31" t="str">
        <f>IFERROR(VLOOKUP(N12,DADOS!$E$4:$F$43,2,0)*P12,"")</f>
        <v/>
      </c>
    </row>
    <row r="13" spans="1:19" x14ac:dyDescent="0.3">
      <c r="N13" s="123"/>
      <c r="O13" s="123"/>
      <c r="P13" s="113"/>
      <c r="Q13" s="31" t="str">
        <f>IFERROR(VLOOKUP(N13,DADOS!$E$4:$F$43,2,0)*P13,"")</f>
        <v/>
      </c>
    </row>
    <row r="14" spans="1:19" x14ac:dyDescent="0.3">
      <c r="N14" s="123"/>
      <c r="O14" s="123"/>
      <c r="P14" s="113"/>
      <c r="Q14" s="31" t="str">
        <f>IFERROR(VLOOKUP(N14,DADOS!$E$4:$F$43,2,0)*P14,"")</f>
        <v/>
      </c>
    </row>
    <row r="15" spans="1:19" x14ac:dyDescent="0.3">
      <c r="N15" s="123"/>
      <c r="O15" s="123"/>
      <c r="P15" s="113"/>
      <c r="Q15" s="31" t="str">
        <f>IFERROR(VLOOKUP(N15,DADOS!$E$4:$F$43,2,0)*P15,"")</f>
        <v/>
      </c>
    </row>
    <row r="16" spans="1:19" x14ac:dyDescent="0.3">
      <c r="A16" s="92" t="s">
        <v>18</v>
      </c>
      <c r="B16" s="92"/>
      <c r="D16" s="92" t="s">
        <v>9</v>
      </c>
      <c r="E16" s="92"/>
      <c r="G16" s="92" t="s">
        <v>10</v>
      </c>
      <c r="H16" s="92"/>
      <c r="J16" s="92" t="s">
        <v>11</v>
      </c>
      <c r="K16" s="92"/>
      <c r="N16" s="123"/>
      <c r="O16" s="123"/>
      <c r="P16" s="113"/>
      <c r="Q16" s="31" t="str">
        <f>IFERROR(VLOOKUP(N16,DADOS!$E$4:$F$43,2,0)*P16,"")</f>
        <v/>
      </c>
    </row>
    <row r="17" spans="1:18" x14ac:dyDescent="0.3">
      <c r="N17" s="123"/>
      <c r="O17" s="123"/>
      <c r="P17" s="113"/>
      <c r="Q17" s="31" t="str">
        <f>IFERROR(VLOOKUP(N17,DADOS!$E$4:$F$43,2,0)*P17,"")</f>
        <v/>
      </c>
    </row>
    <row r="18" spans="1:18" x14ac:dyDescent="0.3">
      <c r="N18" s="123"/>
      <c r="O18" s="123"/>
      <c r="P18" s="113"/>
      <c r="Q18" s="31" t="str">
        <f>IFERROR(VLOOKUP(N18,DADOS!$E$4:$F$43,2,0)*P18,"")</f>
        <v/>
      </c>
    </row>
    <row r="19" spans="1:18" x14ac:dyDescent="0.3">
      <c r="N19" s="123"/>
      <c r="O19" s="123"/>
      <c r="P19" s="113"/>
      <c r="Q19" s="31" t="str">
        <f>IFERROR(VLOOKUP(N19,DADOS!$E$4:$F$43,2,0)*P19,"")</f>
        <v/>
      </c>
    </row>
    <row r="20" spans="1:18" x14ac:dyDescent="0.3">
      <c r="N20" s="123"/>
      <c r="O20" s="123"/>
      <c r="P20" s="113"/>
      <c r="Q20" s="31" t="str">
        <f>IFERROR(VLOOKUP(N20,DADOS!$E$4:$F$43,2,0)*P20,"")</f>
        <v/>
      </c>
    </row>
    <row r="21" spans="1:18" x14ac:dyDescent="0.3">
      <c r="Q21" s="30">
        <f>SUM(Q11:Q20)</f>
        <v>0</v>
      </c>
    </row>
    <row r="22" spans="1:18" x14ac:dyDescent="0.3"/>
    <row r="23" spans="1:18" x14ac:dyDescent="0.3">
      <c r="M23" s="106" t="s">
        <v>132</v>
      </c>
      <c r="N23" s="106"/>
      <c r="O23" s="106"/>
      <c r="P23" s="106"/>
      <c r="Q23" s="106"/>
      <c r="R23" s="106"/>
    </row>
    <row r="24" spans="1:18" x14ac:dyDescent="0.3">
      <c r="M24" s="106"/>
      <c r="N24" s="106"/>
      <c r="O24" s="106"/>
      <c r="P24" s="106"/>
      <c r="Q24" s="106"/>
      <c r="R24" s="106"/>
    </row>
    <row r="25" spans="1:18" ht="14.4" customHeight="1" x14ac:dyDescent="0.3">
      <c r="M25" s="106"/>
      <c r="N25" s="106"/>
      <c r="O25" s="106"/>
      <c r="P25" s="106"/>
      <c r="Q25" s="106"/>
      <c r="R25" s="106"/>
    </row>
    <row r="26" spans="1:18" x14ac:dyDescent="0.3"/>
    <row r="27" spans="1:18" x14ac:dyDescent="0.3"/>
    <row r="28" spans="1:18" x14ac:dyDescent="0.3">
      <c r="A28" s="92" t="s">
        <v>12</v>
      </c>
      <c r="B28" s="92"/>
      <c r="D28" s="92" t="s">
        <v>13</v>
      </c>
      <c r="E28" s="92"/>
      <c r="G28" s="92" t="s">
        <v>14</v>
      </c>
      <c r="H28" s="92"/>
    </row>
    <row r="29" spans="1:18" x14ac:dyDescent="0.3"/>
    <row r="30" spans="1:18" x14ac:dyDescent="0.3"/>
    <row r="31" spans="1:18" x14ac:dyDescent="0.3"/>
    <row r="32" spans="1:18" x14ac:dyDescent="0.3"/>
    <row r="33" spans="1:8" x14ac:dyDescent="0.3"/>
    <row r="34" spans="1:8" x14ac:dyDescent="0.3"/>
    <row r="35" spans="1:8" x14ac:dyDescent="0.3"/>
    <row r="36" spans="1:8" x14ac:dyDescent="0.3"/>
    <row r="37" spans="1:8" x14ac:dyDescent="0.3"/>
    <row r="38" spans="1:8" x14ac:dyDescent="0.3"/>
    <row r="39" spans="1:8" x14ac:dyDescent="0.3"/>
    <row r="40" spans="1:8" x14ac:dyDescent="0.3">
      <c r="A40" s="92" t="s">
        <v>15</v>
      </c>
      <c r="B40" s="92"/>
      <c r="D40" s="92" t="s">
        <v>16</v>
      </c>
      <c r="E40" s="92"/>
      <c r="G40" s="92" t="s">
        <v>17</v>
      </c>
      <c r="H40" s="92"/>
    </row>
    <row r="41" spans="1:8" x14ac:dyDescent="0.3"/>
    <row r="42" spans="1:8" x14ac:dyDescent="0.3"/>
    <row r="43" spans="1:8" x14ac:dyDescent="0.3"/>
    <row r="44" spans="1:8" x14ac:dyDescent="0.3">
      <c r="B44" s="5"/>
    </row>
    <row r="45" spans="1:8" x14ac:dyDescent="0.3"/>
    <row r="46" spans="1:8" x14ac:dyDescent="0.3"/>
    <row r="49" customFormat="1" hidden="1" x14ac:dyDescent="0.3"/>
    <row r="50" customFormat="1" hidden="1" x14ac:dyDescent="0.3"/>
    <row r="51" customFormat="1" hidden="1" x14ac:dyDescent="0.3"/>
  </sheetData>
  <sheetProtection algorithmName="SHA-512" hashValue="jv30Gl6EXNSA44YLOVCJI4AeCyZmAK5uTJZEhAtsQ3HyH0bc1tdLmyarSBR4RmpHo7Sp6auoELVIYN+Tbs6EzQ==" saltValue="m6V5D+DukkSiCsCkADYYzQ==" spinCount="100000" sheet="1" objects="1" scenarios="1" selectLockedCells="1"/>
  <sortState xmlns:xlrd2="http://schemas.microsoft.com/office/spreadsheetml/2017/richdata2" ref="M15:M25">
    <sortCondition ref="M15:M25"/>
  </sortState>
  <mergeCells count="27">
    <mergeCell ref="A40:B40"/>
    <mergeCell ref="D40:E40"/>
    <mergeCell ref="G40:H40"/>
    <mergeCell ref="D2:L3"/>
    <mergeCell ref="N2:O3"/>
    <mergeCell ref="N17:O17"/>
    <mergeCell ref="N18:O18"/>
    <mergeCell ref="N19:O19"/>
    <mergeCell ref="N20:O20"/>
    <mergeCell ref="M23:R25"/>
    <mergeCell ref="N7:Q8"/>
    <mergeCell ref="P2:Q3"/>
    <mergeCell ref="R2:S3"/>
    <mergeCell ref="A16:B16"/>
    <mergeCell ref="A28:B28"/>
    <mergeCell ref="D16:E16"/>
    <mergeCell ref="D28:E28"/>
    <mergeCell ref="G16:H16"/>
    <mergeCell ref="G28:H28"/>
    <mergeCell ref="J16:K16"/>
    <mergeCell ref="N10:O10"/>
    <mergeCell ref="N11:O11"/>
    <mergeCell ref="N12:O12"/>
    <mergeCell ref="N13:O13"/>
    <mergeCell ref="N14:O14"/>
    <mergeCell ref="N15:O15"/>
    <mergeCell ref="N16:O16"/>
  </mergeCells>
  <hyperlinks>
    <hyperlink ref="N2:O3" location="GÁS!C21" display="INICIO" xr:uid="{DD6847B8-312F-4076-BB96-38B62D27893B}"/>
    <hyperlink ref="P2:Q3" location="'DIMENSIONADOR - GN'!D7" display="DIMENSIONADOR - GN" xr:uid="{0BF54508-B14F-4B54-A38F-C57D5F4BC0AD}"/>
    <hyperlink ref="R2:S3" location="'DIMENSIONADOR - GLP'!D7" display="DIMENSIONADOR - GLP" xr:uid="{D8CB183C-B90A-44FE-8DA2-61B15025D337}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CCFA1D-C965-4F3F-A2E4-D22A513358C9}">
          <x14:formula1>
            <xm:f>DADOS!$E$4:$E$43</xm:f>
          </x14:formula1>
          <xm:sqref>N11:O20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2240-6BCB-499B-82B3-C86CF903C5CE}">
  <sheetPr codeName="Planilha5">
    <tabColor theme="4"/>
  </sheetPr>
  <dimension ref="A1:Z404"/>
  <sheetViews>
    <sheetView showGridLines="0" zoomScale="90" zoomScaleNormal="90" workbookViewId="0">
      <pane ySplit="12" topLeftCell="A13" activePane="bottomLeft" state="frozen"/>
      <selection pane="bottomLeft" activeCell="E10" sqref="E10:G11"/>
    </sheetView>
  </sheetViews>
  <sheetFormatPr defaultColWidth="0" defaultRowHeight="14.4" customHeight="1" zeroHeight="1" x14ac:dyDescent="0.3"/>
  <cols>
    <col min="1" max="26" width="8.88671875" customWidth="1"/>
    <col min="27" max="16384" width="8.88671875" hidden="1"/>
  </cols>
  <sheetData>
    <row r="1" spans="2:25" x14ac:dyDescent="0.3"/>
    <row r="2" spans="2:25" x14ac:dyDescent="0.3"/>
    <row r="3" spans="2:25" x14ac:dyDescent="0.3"/>
    <row r="4" spans="2:25" x14ac:dyDescent="0.3"/>
    <row r="5" spans="2:25" x14ac:dyDescent="0.3">
      <c r="K5" s="111" t="s">
        <v>1</v>
      </c>
      <c r="L5" s="111"/>
      <c r="M5" s="111"/>
      <c r="N5" s="111"/>
      <c r="O5" s="111"/>
    </row>
    <row r="6" spans="2:25" x14ac:dyDescent="0.3">
      <c r="K6" s="111"/>
      <c r="L6" s="111"/>
      <c r="M6" s="111"/>
      <c r="N6" s="111"/>
      <c r="O6" s="111"/>
    </row>
    <row r="7" spans="2:25" x14ac:dyDescent="0.3"/>
    <row r="8" spans="2:25" x14ac:dyDescent="0.3"/>
    <row r="9" spans="2:25" x14ac:dyDescent="0.3"/>
    <row r="10" spans="2:25" ht="18" x14ac:dyDescent="0.3">
      <c r="B10" s="2"/>
      <c r="C10" s="2"/>
      <c r="D10" s="2"/>
      <c r="E10" s="124" t="s">
        <v>0</v>
      </c>
      <c r="F10" s="124"/>
      <c r="G10" s="124"/>
      <c r="H10" s="2"/>
      <c r="I10" s="124" t="s">
        <v>158</v>
      </c>
      <c r="J10" s="124"/>
      <c r="K10" s="124"/>
      <c r="M10" s="124" t="s">
        <v>159</v>
      </c>
      <c r="N10" s="124"/>
      <c r="O10" s="124"/>
    </row>
    <row r="11" spans="2:25" ht="18" x14ac:dyDescent="0.3">
      <c r="B11" s="2"/>
      <c r="C11" s="2"/>
      <c r="D11" s="2"/>
      <c r="E11" s="124"/>
      <c r="F11" s="124"/>
      <c r="G11" s="124"/>
      <c r="H11" s="2"/>
      <c r="I11" s="124"/>
      <c r="J11" s="124"/>
      <c r="K11" s="124"/>
      <c r="M11" s="124"/>
      <c r="N11" s="124"/>
      <c r="O11" s="124"/>
    </row>
    <row r="12" spans="2:25" ht="18" x14ac:dyDescent="0.3">
      <c r="B12" s="2"/>
      <c r="C12" s="2"/>
      <c r="D12" s="2"/>
      <c r="E12" s="2"/>
      <c r="F12" s="2"/>
      <c r="G12" s="2"/>
      <c r="H12" s="2"/>
      <c r="I12" s="2"/>
      <c r="J12" s="2"/>
    </row>
    <row r="13" spans="2:25" x14ac:dyDescent="0.3"/>
    <row r="14" spans="2:25" s="78" customFormat="1" ht="14.4" customHeight="1" x14ac:dyDescent="0.3"/>
    <row r="15" spans="2:25" s="78" customFormat="1" ht="14.4" customHeight="1" x14ac:dyDescent="0.3">
      <c r="B15" s="108" t="s">
        <v>170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</row>
    <row r="16" spans="2:25" s="78" customFormat="1" ht="14.4" customHeight="1" x14ac:dyDescent="0.3"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</row>
    <row r="17" spans="2:25" s="78" customFormat="1" ht="14.4" customHeight="1" x14ac:dyDescent="0.3"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</row>
    <row r="18" spans="2:25" s="78" customFormat="1" ht="14.4" customHeight="1" x14ac:dyDescent="0.3"/>
    <row r="19" spans="2:25" s="78" customFormat="1" ht="14.4" customHeight="1" x14ac:dyDescent="0.3"/>
    <row r="20" spans="2:25" s="78" customFormat="1" ht="14.4" customHeight="1" x14ac:dyDescent="0.3">
      <c r="I20" s="92" t="s">
        <v>171</v>
      </c>
      <c r="J20" s="92"/>
      <c r="K20" s="92"/>
      <c r="L20" s="92"/>
      <c r="U20" s="92" t="s">
        <v>171</v>
      </c>
      <c r="V20" s="92"/>
      <c r="W20" s="92"/>
      <c r="X20" s="92"/>
    </row>
    <row r="21" spans="2:25" s="78" customFormat="1" ht="14.4" customHeight="1" x14ac:dyDescent="0.3">
      <c r="I21" s="83" t="s">
        <v>172</v>
      </c>
      <c r="J21" s="83"/>
      <c r="K21" s="83"/>
      <c r="L21" s="83"/>
      <c r="U21" s="83" t="s">
        <v>174</v>
      </c>
      <c r="V21" s="83"/>
      <c r="W21" s="83"/>
      <c r="X21" s="83"/>
    </row>
    <row r="22" spans="2:25" s="78" customFormat="1" ht="14.4" customHeight="1" x14ac:dyDescent="0.3">
      <c r="I22" s="83" t="s">
        <v>173</v>
      </c>
      <c r="J22" s="83"/>
      <c r="K22" s="83"/>
      <c r="L22" s="83"/>
      <c r="U22" s="84" t="s">
        <v>175</v>
      </c>
      <c r="V22" s="84"/>
      <c r="W22" s="84"/>
      <c r="X22" s="84"/>
    </row>
    <row r="23" spans="2:25" s="78" customFormat="1" ht="14.4" customHeight="1" x14ac:dyDescent="0.3">
      <c r="I23" s="83" t="s">
        <v>193</v>
      </c>
      <c r="J23" s="83"/>
      <c r="K23" s="83"/>
      <c r="L23" s="83"/>
      <c r="U23" s="84" t="s">
        <v>176</v>
      </c>
      <c r="V23" s="84"/>
      <c r="W23" s="84"/>
      <c r="X23" s="84"/>
    </row>
    <row r="24" spans="2:25" s="78" customFormat="1" ht="14.4" customHeight="1" x14ac:dyDescent="0.3"/>
    <row r="25" spans="2:25" s="78" customFormat="1" ht="14.4" customHeight="1" x14ac:dyDescent="0.3"/>
    <row r="26" spans="2:25" s="78" customFormat="1" ht="14.4" customHeight="1" x14ac:dyDescent="0.3"/>
    <row r="27" spans="2:25" s="78" customFormat="1" ht="14.4" customHeight="1" x14ac:dyDescent="0.3"/>
    <row r="28" spans="2:25" s="78" customFormat="1" ht="14.4" customHeight="1" x14ac:dyDescent="0.3"/>
    <row r="29" spans="2:25" s="78" customFormat="1" ht="14.4" customHeight="1" x14ac:dyDescent="0.3"/>
    <row r="30" spans="2:25" s="78" customFormat="1" ht="14.4" customHeight="1" x14ac:dyDescent="0.3"/>
    <row r="31" spans="2:25" s="78" customFormat="1" ht="14.4" customHeight="1" x14ac:dyDescent="0.3"/>
    <row r="32" spans="2:25" s="78" customFormat="1" ht="14.4" customHeight="1" x14ac:dyDescent="0.3"/>
    <row r="33" spans="2:25" s="78" customFormat="1" ht="14.4" customHeight="1" x14ac:dyDescent="0.3"/>
    <row r="34" spans="2:25" s="78" customFormat="1" ht="14.4" customHeight="1" x14ac:dyDescent="0.3"/>
    <row r="35" spans="2:25" s="78" customFormat="1" ht="14.4" customHeight="1" x14ac:dyDescent="0.3"/>
    <row r="36" spans="2:25" s="78" customFormat="1" ht="14.4" customHeight="1" x14ac:dyDescent="0.3"/>
    <row r="37" spans="2:25" s="78" customFormat="1" ht="14.4" customHeight="1" x14ac:dyDescent="0.3"/>
    <row r="38" spans="2:25" s="78" customFormat="1" ht="14.4" customHeight="1" x14ac:dyDescent="0.3"/>
    <row r="39" spans="2:25" s="78" customFormat="1" ht="14.4" customHeight="1" x14ac:dyDescent="0.3"/>
    <row r="40" spans="2:25" s="78" customFormat="1" ht="14.4" customHeight="1" x14ac:dyDescent="0.3"/>
    <row r="41" spans="2:25" s="78" customFormat="1" ht="14.4" customHeight="1" x14ac:dyDescent="0.3"/>
    <row r="42" spans="2:25" s="78" customFormat="1" ht="14.4" customHeight="1" x14ac:dyDescent="0.3"/>
    <row r="43" spans="2:25" s="78" customFormat="1" ht="14.4" customHeight="1" x14ac:dyDescent="0.3"/>
    <row r="44" spans="2:25" s="78" customFormat="1" ht="14.4" customHeight="1" x14ac:dyDescent="0.3"/>
    <row r="45" spans="2:25" s="78" customFormat="1" ht="14.4" customHeight="1" x14ac:dyDescent="0.3"/>
    <row r="46" spans="2:25" s="78" customFormat="1" ht="14.4" customHeight="1" x14ac:dyDescent="0.3">
      <c r="B46" s="108" t="s">
        <v>177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</row>
    <row r="47" spans="2:25" s="78" customFormat="1" ht="14.4" customHeight="1" x14ac:dyDescent="0.3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</row>
    <row r="48" spans="2:25" s="78" customFormat="1" ht="14.4" customHeight="1" x14ac:dyDescent="0.3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</row>
    <row r="49" spans="2:25" s="78" customFormat="1" ht="14.4" customHeight="1" x14ac:dyDescent="0.3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</row>
    <row r="50" spans="2:25" s="78" customFormat="1" ht="14.4" customHeight="1" x14ac:dyDescent="0.3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</row>
    <row r="51" spans="2:25" s="78" customFormat="1" ht="14.4" customHeight="1" x14ac:dyDescent="0.3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</row>
    <row r="52" spans="2:25" s="78" customFormat="1" ht="14.4" customHeight="1" x14ac:dyDescent="0.3">
      <c r="B52" s="109" t="s">
        <v>178</v>
      </c>
      <c r="C52" s="109"/>
      <c r="D52" s="10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</row>
    <row r="53" spans="2:25" s="78" customFormat="1" ht="14.4" customHeight="1" x14ac:dyDescent="0.3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</row>
    <row r="54" spans="2:25" s="78" customFormat="1" ht="14.4" customHeight="1" x14ac:dyDescent="0.3">
      <c r="B54" s="110" t="s">
        <v>190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</row>
    <row r="55" spans="2:25" s="78" customFormat="1" ht="14.4" customHeight="1" x14ac:dyDescent="0.3"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</row>
    <row r="56" spans="2:25" s="78" customFormat="1" ht="14.4" customHeight="1" x14ac:dyDescent="0.3"/>
    <row r="57" spans="2:25" s="78" customFormat="1" ht="14.4" customHeight="1" x14ac:dyDescent="0.3"/>
    <row r="58" spans="2:25" s="78" customFormat="1" ht="14.4" customHeight="1" x14ac:dyDescent="0.3"/>
    <row r="59" spans="2:25" s="78" customFormat="1" ht="14.4" customHeight="1" x14ac:dyDescent="0.3"/>
    <row r="60" spans="2:25" s="78" customFormat="1" ht="14.4" customHeight="1" x14ac:dyDescent="0.3"/>
    <row r="61" spans="2:25" s="78" customFormat="1" ht="14.4" customHeight="1" x14ac:dyDescent="0.3"/>
    <row r="62" spans="2:25" s="78" customFormat="1" ht="14.4" customHeight="1" x14ac:dyDescent="0.3"/>
    <row r="63" spans="2:25" s="78" customFormat="1" ht="14.4" customHeight="1" x14ac:dyDescent="0.3"/>
    <row r="64" spans="2:25" s="78" customFormat="1" ht="14.4" customHeight="1" x14ac:dyDescent="0.3"/>
    <row r="65" spans="2:25" s="78" customFormat="1" ht="14.4" customHeight="1" x14ac:dyDescent="0.3"/>
    <row r="66" spans="2:25" s="78" customFormat="1" ht="14.4" customHeight="1" x14ac:dyDescent="0.3"/>
    <row r="67" spans="2:25" s="78" customFormat="1" ht="14.4" customHeight="1" x14ac:dyDescent="0.3"/>
    <row r="68" spans="2:25" s="78" customFormat="1" ht="14.4" customHeight="1" x14ac:dyDescent="0.3"/>
    <row r="69" spans="2:25" s="78" customFormat="1" ht="14.4" customHeight="1" x14ac:dyDescent="0.3"/>
    <row r="70" spans="2:25" s="78" customFormat="1" ht="14.4" customHeight="1" x14ac:dyDescent="0.3"/>
    <row r="71" spans="2:25" s="78" customFormat="1" ht="14.4" customHeight="1" x14ac:dyDescent="0.3"/>
    <row r="72" spans="2:25" s="78" customFormat="1" ht="14.4" customHeight="1" x14ac:dyDescent="0.3"/>
    <row r="73" spans="2:25" s="78" customFormat="1" ht="14.4" customHeight="1" x14ac:dyDescent="0.3"/>
    <row r="74" spans="2:25" s="78" customFormat="1" ht="14.4" customHeight="1" x14ac:dyDescent="0.3"/>
    <row r="75" spans="2:25" s="78" customFormat="1" ht="14.4" customHeight="1" x14ac:dyDescent="0.3">
      <c r="B75" s="109" t="s">
        <v>188</v>
      </c>
      <c r="C75" s="109"/>
      <c r="D75" s="10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</row>
    <row r="76" spans="2:25" s="78" customFormat="1" ht="14.4" customHeight="1" x14ac:dyDescent="0.3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</row>
    <row r="77" spans="2:25" s="78" customFormat="1" ht="14.4" customHeight="1" x14ac:dyDescent="0.3">
      <c r="B77" s="110" t="s">
        <v>192</v>
      </c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</row>
    <row r="78" spans="2:25" s="78" customFormat="1" ht="14.4" customHeight="1" x14ac:dyDescent="0.3"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</row>
    <row r="79" spans="2:25" s="78" customFormat="1" ht="14.4" customHeight="1" x14ac:dyDescent="0.3"/>
    <row r="80" spans="2:25" s="78" customFormat="1" ht="14.4" customHeight="1" x14ac:dyDescent="0.3"/>
    <row r="81" spans="2:4" s="78" customFormat="1" ht="14.4" customHeight="1" x14ac:dyDescent="0.3"/>
    <row r="82" spans="2:4" s="78" customFormat="1" ht="14.4" customHeight="1" x14ac:dyDescent="0.3"/>
    <row r="83" spans="2:4" s="78" customFormat="1" ht="14.4" customHeight="1" x14ac:dyDescent="0.3"/>
    <row r="84" spans="2:4" s="78" customFormat="1" ht="14.4" customHeight="1" x14ac:dyDescent="0.3"/>
    <row r="85" spans="2:4" s="78" customFormat="1" ht="14.4" customHeight="1" x14ac:dyDescent="0.3"/>
    <row r="86" spans="2:4" s="78" customFormat="1" ht="14.4" customHeight="1" x14ac:dyDescent="0.3"/>
    <row r="87" spans="2:4" s="78" customFormat="1" ht="14.4" customHeight="1" x14ac:dyDescent="0.3"/>
    <row r="88" spans="2:4" s="78" customFormat="1" ht="14.4" customHeight="1" x14ac:dyDescent="0.3"/>
    <row r="89" spans="2:4" s="78" customFormat="1" ht="14.4" customHeight="1" x14ac:dyDescent="0.3"/>
    <row r="90" spans="2:4" s="78" customFormat="1" ht="14.4" customHeight="1" x14ac:dyDescent="0.3"/>
    <row r="91" spans="2:4" s="78" customFormat="1" ht="14.4" customHeight="1" x14ac:dyDescent="0.3"/>
    <row r="92" spans="2:4" s="78" customFormat="1" ht="14.4" customHeight="1" x14ac:dyDescent="0.3"/>
    <row r="93" spans="2:4" s="78" customFormat="1" ht="14.4" customHeight="1" x14ac:dyDescent="0.3"/>
    <row r="94" spans="2:4" s="78" customFormat="1" ht="14.4" customHeight="1" x14ac:dyDescent="0.3"/>
    <row r="95" spans="2:4" s="78" customFormat="1" ht="14.4" customHeight="1" x14ac:dyDescent="0.3"/>
    <row r="96" spans="2:4" s="78" customFormat="1" ht="14.4" customHeight="1" x14ac:dyDescent="0.3">
      <c r="B96" s="109" t="s">
        <v>191</v>
      </c>
      <c r="C96" s="109"/>
      <c r="D96" s="109"/>
    </row>
    <row r="97" spans="2:25" s="78" customFormat="1" ht="14.4" customHeight="1" x14ac:dyDescent="0.3"/>
    <row r="98" spans="2:25" s="78" customFormat="1" ht="14.4" customHeight="1" x14ac:dyDescent="0.3">
      <c r="B98" s="110" t="s">
        <v>181</v>
      </c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</row>
    <row r="99" spans="2:25" s="78" customFormat="1" ht="14.4" customHeight="1" x14ac:dyDescent="0.3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</row>
    <row r="100" spans="2:25" s="78" customFormat="1" ht="14.4" customHeight="1" x14ac:dyDescent="0.3"/>
    <row r="101" spans="2:25" s="78" customFormat="1" ht="14.4" customHeight="1" x14ac:dyDescent="0.3"/>
    <row r="102" spans="2:25" s="78" customFormat="1" ht="14.4" customHeight="1" x14ac:dyDescent="0.3"/>
    <row r="103" spans="2:25" s="78" customFormat="1" ht="14.4" customHeight="1" x14ac:dyDescent="0.3">
      <c r="M103" s="92" t="s">
        <v>182</v>
      </c>
      <c r="N103" s="92"/>
      <c r="O103" s="92"/>
      <c r="P103" s="92"/>
    </row>
    <row r="104" spans="2:25" s="78" customFormat="1" ht="14.4" customHeight="1" x14ac:dyDescent="0.3">
      <c r="M104" s="85" t="s">
        <v>183</v>
      </c>
      <c r="N104" s="83"/>
      <c r="O104" s="83"/>
      <c r="P104" s="83"/>
    </row>
    <row r="105" spans="2:25" s="78" customFormat="1" ht="14.4" customHeight="1" x14ac:dyDescent="0.3"/>
    <row r="106" spans="2:25" s="78" customFormat="1" ht="14.4" customHeight="1" x14ac:dyDescent="0.3"/>
    <row r="107" spans="2:25" s="78" customFormat="1" ht="14.4" customHeight="1" x14ac:dyDescent="0.3">
      <c r="M107" s="92" t="s">
        <v>184</v>
      </c>
      <c r="N107" s="92"/>
      <c r="O107" s="92"/>
      <c r="P107" s="92"/>
    </row>
    <row r="108" spans="2:25" s="78" customFormat="1" ht="14.4" customHeight="1" x14ac:dyDescent="0.3">
      <c r="M108" s="83" t="s">
        <v>185</v>
      </c>
      <c r="N108" s="83"/>
      <c r="O108" s="83"/>
      <c r="P108" s="83"/>
    </row>
    <row r="109" spans="2:25" s="78" customFormat="1" ht="14.4" customHeight="1" x14ac:dyDescent="0.3"/>
    <row r="110" spans="2:25" s="78" customFormat="1" ht="14.4" customHeight="1" x14ac:dyDescent="0.3"/>
    <row r="111" spans="2:25" s="78" customFormat="1" ht="14.4" customHeight="1" x14ac:dyDescent="0.3">
      <c r="M111" s="92" t="s">
        <v>186</v>
      </c>
      <c r="N111" s="92"/>
      <c r="O111" s="92"/>
      <c r="P111" s="92"/>
    </row>
    <row r="112" spans="2:25" s="78" customFormat="1" ht="14.4" customHeight="1" x14ac:dyDescent="0.3">
      <c r="M112" s="83" t="s">
        <v>187</v>
      </c>
      <c r="N112" s="83"/>
      <c r="O112" s="83"/>
      <c r="P112" s="83"/>
    </row>
    <row r="113" spans="2:25" s="78" customFormat="1" ht="14.4" customHeight="1" x14ac:dyDescent="0.3"/>
    <row r="114" spans="2:25" s="78" customFormat="1" ht="14.4" customHeight="1" x14ac:dyDescent="0.3"/>
    <row r="115" spans="2:25" s="78" customFormat="1" ht="14.4" customHeight="1" x14ac:dyDescent="0.3"/>
    <row r="116" spans="2:25" s="78" customFormat="1" ht="14.4" customHeight="1" x14ac:dyDescent="0.3"/>
    <row r="117" spans="2:25" s="78" customFormat="1" ht="14.4" customHeight="1" x14ac:dyDescent="0.3"/>
    <row r="118" spans="2:25" s="78" customFormat="1" ht="14.4" customHeight="1" x14ac:dyDescent="0.3"/>
    <row r="119" spans="2:25" s="78" customFormat="1" ht="14.4" customHeight="1" x14ac:dyDescent="0.3"/>
    <row r="120" spans="2:25" s="78" customFormat="1" ht="14.4" customHeight="1" x14ac:dyDescent="0.3"/>
    <row r="121" spans="2:25" s="78" customFormat="1" ht="14.4" customHeight="1" x14ac:dyDescent="0.3"/>
    <row r="122" spans="2:25" s="78" customFormat="1" ht="14.4" customHeight="1" x14ac:dyDescent="0.3">
      <c r="B122" s="110" t="s">
        <v>194</v>
      </c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</row>
    <row r="123" spans="2:25" s="78" customFormat="1" ht="14.4" customHeight="1" x14ac:dyDescent="0.3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</row>
    <row r="124" spans="2:25" s="78" customFormat="1" ht="14.4" customHeight="1" x14ac:dyDescent="0.3"/>
    <row r="125" spans="2:25" s="78" customFormat="1" ht="14.4" customHeight="1" x14ac:dyDescent="0.3"/>
    <row r="126" spans="2:25" s="78" customFormat="1" ht="14.4" customHeight="1" x14ac:dyDescent="0.3"/>
    <row r="127" spans="2:25" s="78" customFormat="1" ht="14.4" customHeight="1" x14ac:dyDescent="0.3"/>
    <row r="128" spans="2:25" s="78" customFormat="1" ht="14.4" customHeight="1" x14ac:dyDescent="0.3"/>
    <row r="129" spans="2:25" s="78" customFormat="1" ht="14.4" customHeight="1" x14ac:dyDescent="0.3"/>
    <row r="130" spans="2:25" s="78" customFormat="1" ht="14.4" customHeight="1" x14ac:dyDescent="0.3"/>
    <row r="131" spans="2:25" s="78" customFormat="1" ht="14.4" customHeight="1" x14ac:dyDescent="0.3"/>
    <row r="132" spans="2:25" s="78" customFormat="1" ht="14.4" customHeight="1" x14ac:dyDescent="0.3"/>
    <row r="133" spans="2:25" s="78" customFormat="1" ht="14.4" customHeight="1" x14ac:dyDescent="0.3"/>
    <row r="134" spans="2:25" s="78" customFormat="1" ht="14.4" customHeight="1" x14ac:dyDescent="0.3"/>
    <row r="135" spans="2:25" s="78" customFormat="1" ht="14.4" customHeight="1" x14ac:dyDescent="0.3"/>
    <row r="136" spans="2:25" s="78" customFormat="1" ht="14.4" customHeight="1" x14ac:dyDescent="0.3"/>
    <row r="137" spans="2:25" s="78" customFormat="1" ht="14.4" customHeight="1" x14ac:dyDescent="0.3">
      <c r="B137" s="109" t="s">
        <v>195</v>
      </c>
      <c r="C137" s="109"/>
      <c r="D137" s="10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</row>
    <row r="138" spans="2:25" s="78" customFormat="1" ht="14.4" customHeight="1" x14ac:dyDescent="0.3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</row>
    <row r="139" spans="2:25" s="78" customFormat="1" ht="14.4" customHeight="1" x14ac:dyDescent="0.3">
      <c r="B139" s="110" t="s">
        <v>217</v>
      </c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</row>
    <row r="140" spans="2:25" s="78" customFormat="1" ht="14.4" customHeight="1" x14ac:dyDescent="0.3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</row>
    <row r="141" spans="2:25" s="78" customFormat="1" ht="14.4" customHeight="1" x14ac:dyDescent="0.3"/>
    <row r="142" spans="2:25" s="78" customFormat="1" ht="14.4" customHeight="1" x14ac:dyDescent="0.3"/>
    <row r="143" spans="2:25" s="78" customFormat="1" ht="14.4" customHeight="1" x14ac:dyDescent="0.3"/>
    <row r="144" spans="2:25" s="78" customFormat="1" ht="14.4" customHeight="1" x14ac:dyDescent="0.3">
      <c r="M144" s="92" t="s">
        <v>196</v>
      </c>
      <c r="N144" s="92"/>
      <c r="O144" s="92"/>
      <c r="P144" s="92"/>
    </row>
    <row r="145" spans="2:25" s="78" customFormat="1" ht="14.4" customHeight="1" x14ac:dyDescent="0.3">
      <c r="M145" s="85" t="s">
        <v>197</v>
      </c>
      <c r="N145" s="83"/>
      <c r="O145" s="83"/>
      <c r="P145" s="83"/>
    </row>
    <row r="146" spans="2:25" s="78" customFormat="1" ht="14.4" customHeight="1" x14ac:dyDescent="0.3"/>
    <row r="147" spans="2:25" s="78" customFormat="1" ht="14.4" customHeight="1" x14ac:dyDescent="0.3"/>
    <row r="148" spans="2:25" s="78" customFormat="1" ht="14.4" customHeight="1" x14ac:dyDescent="0.3"/>
    <row r="149" spans="2:25" s="78" customFormat="1" ht="14.4" customHeight="1" x14ac:dyDescent="0.3"/>
    <row r="150" spans="2:25" s="78" customFormat="1" ht="14.4" customHeight="1" x14ac:dyDescent="0.3"/>
    <row r="151" spans="2:25" s="78" customFormat="1" ht="14.4" customHeight="1" x14ac:dyDescent="0.3"/>
    <row r="152" spans="2:25" s="78" customFormat="1" ht="14.4" customHeight="1" x14ac:dyDescent="0.3"/>
    <row r="153" spans="2:25" s="78" customFormat="1" ht="14.4" customHeight="1" x14ac:dyDescent="0.3"/>
    <row r="154" spans="2:25" s="78" customFormat="1" ht="14.4" customHeight="1" x14ac:dyDescent="0.3"/>
    <row r="155" spans="2:25" s="78" customFormat="1" ht="14.4" customHeight="1" x14ac:dyDescent="0.3">
      <c r="B155" s="110" t="s">
        <v>198</v>
      </c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</row>
    <row r="156" spans="2:25" s="78" customFormat="1" ht="14.4" customHeight="1" x14ac:dyDescent="0.3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</row>
    <row r="157" spans="2:25" s="78" customFormat="1" ht="14.4" customHeight="1" x14ac:dyDescent="0.3"/>
    <row r="158" spans="2:25" ht="14.4" customHeight="1" x14ac:dyDescent="0.3"/>
    <row r="159" spans="2:25" ht="14.4" customHeight="1" x14ac:dyDescent="0.3"/>
    <row r="160" spans="2:25" ht="14.4" customHeight="1" x14ac:dyDescent="0.3"/>
    <row r="161" spans="2:25" ht="14.4" customHeight="1" x14ac:dyDescent="0.3"/>
    <row r="162" spans="2:25" ht="14.4" customHeight="1" x14ac:dyDescent="0.3"/>
    <row r="163" spans="2:25" ht="14.4" customHeight="1" x14ac:dyDescent="0.3"/>
    <row r="164" spans="2:25" ht="14.4" customHeight="1" x14ac:dyDescent="0.3"/>
    <row r="165" spans="2:25" ht="14.4" customHeight="1" x14ac:dyDescent="0.3"/>
    <row r="166" spans="2:25" ht="14.4" customHeight="1" x14ac:dyDescent="0.3"/>
    <row r="167" spans="2:25" ht="14.4" customHeight="1" x14ac:dyDescent="0.3"/>
    <row r="168" spans="2:25" ht="14.4" customHeight="1" x14ac:dyDescent="0.3">
      <c r="B168" s="109" t="s">
        <v>199</v>
      </c>
      <c r="C168" s="109"/>
      <c r="D168" s="10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</row>
    <row r="169" spans="2:25" ht="14.4" customHeight="1" x14ac:dyDescent="0.3"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</row>
    <row r="170" spans="2:25" ht="14.4" customHeight="1" x14ac:dyDescent="0.3">
      <c r="B170" s="108" t="s">
        <v>200</v>
      </c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</row>
    <row r="171" spans="2:25" ht="14.4" customHeight="1" x14ac:dyDescent="0.3"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</row>
    <row r="172" spans="2:25" ht="14.4" customHeight="1" x14ac:dyDescent="0.3"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</row>
    <row r="173" spans="2:25" ht="14.4" customHeight="1" x14ac:dyDescent="0.3"/>
    <row r="174" spans="2:25" ht="14.4" customHeight="1" x14ac:dyDescent="0.3"/>
    <row r="175" spans="2:25" ht="14.4" customHeight="1" x14ac:dyDescent="0.3"/>
    <row r="176" spans="2:25" ht="14.4" customHeight="1" x14ac:dyDescent="0.3"/>
    <row r="177" spans="2:25" ht="14.4" customHeight="1" x14ac:dyDescent="0.3"/>
    <row r="178" spans="2:25" ht="14.4" customHeight="1" x14ac:dyDescent="0.3"/>
    <row r="179" spans="2:25" ht="14.4" customHeight="1" x14ac:dyDescent="0.3"/>
    <row r="180" spans="2:25" ht="14.4" customHeight="1" x14ac:dyDescent="0.3"/>
    <row r="181" spans="2:25" ht="14.4" customHeight="1" x14ac:dyDescent="0.3"/>
    <row r="182" spans="2:25" ht="14.4" customHeight="1" x14ac:dyDescent="0.3"/>
    <row r="183" spans="2:25" ht="14.4" customHeight="1" x14ac:dyDescent="0.3"/>
    <row r="184" spans="2:25" ht="14.4" customHeight="1" x14ac:dyDescent="0.3"/>
    <row r="185" spans="2:25" ht="14.4" customHeight="1" x14ac:dyDescent="0.3">
      <c r="B185" s="109" t="s">
        <v>201</v>
      </c>
      <c r="C185" s="109"/>
      <c r="D185" s="10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</row>
    <row r="186" spans="2:25" ht="14.4" customHeight="1" x14ac:dyDescent="0.3"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</row>
    <row r="187" spans="2:25" ht="14.4" customHeight="1" x14ac:dyDescent="0.3"/>
    <row r="188" spans="2:25" ht="14.4" customHeight="1" x14ac:dyDescent="0.3">
      <c r="B188" s="108" t="s">
        <v>218</v>
      </c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</row>
    <row r="189" spans="2:25" ht="14.4" customHeight="1" x14ac:dyDescent="0.3"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</row>
    <row r="190" spans="2:25" ht="14.4" customHeight="1" x14ac:dyDescent="0.3"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</row>
    <row r="191" spans="2:25" ht="14.4" customHeight="1" x14ac:dyDescent="0.3"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</row>
    <row r="192" spans="2:25" ht="14.4" customHeight="1" x14ac:dyDescent="0.3"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</row>
    <row r="193" spans="2:25" ht="14.4" customHeight="1" x14ac:dyDescent="0.3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</row>
    <row r="194" spans="2:25" ht="14.4" customHeight="1" x14ac:dyDescent="0.3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</row>
    <row r="195" spans="2:25" ht="14.4" customHeight="1" x14ac:dyDescent="0.3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</row>
    <row r="196" spans="2:25" ht="14.4" customHeight="1" x14ac:dyDescent="0.3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92" t="s">
        <v>202</v>
      </c>
      <c r="N196" s="92"/>
      <c r="O196" s="92"/>
      <c r="P196" s="92"/>
      <c r="Q196" s="78"/>
      <c r="R196" s="78"/>
      <c r="S196" s="78"/>
      <c r="T196" s="78"/>
      <c r="U196" s="78"/>
      <c r="V196" s="78"/>
      <c r="W196" s="78"/>
      <c r="X196" s="78"/>
      <c r="Y196" s="78"/>
    </row>
    <row r="197" spans="2:25" ht="14.4" customHeight="1" x14ac:dyDescent="0.3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87" t="s">
        <v>203</v>
      </c>
      <c r="N197" s="83"/>
      <c r="O197" s="83"/>
      <c r="P197" s="83"/>
      <c r="Q197" s="78"/>
      <c r="R197" s="78"/>
      <c r="S197" s="78"/>
      <c r="T197" s="78"/>
      <c r="U197" s="78"/>
      <c r="V197" s="78"/>
      <c r="W197" s="78"/>
      <c r="X197" s="78"/>
      <c r="Y197" s="78"/>
    </row>
    <row r="198" spans="2:25" ht="14.4" customHeight="1" x14ac:dyDescent="0.3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</row>
    <row r="199" spans="2:25" ht="14.4" customHeight="1" x14ac:dyDescent="0.3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</row>
    <row r="200" spans="2:25" ht="14.4" customHeight="1" x14ac:dyDescent="0.3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</row>
    <row r="201" spans="2:25" ht="14.4" customHeight="1" x14ac:dyDescent="0.3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</row>
    <row r="202" spans="2:25" ht="14.4" customHeight="1" x14ac:dyDescent="0.3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</row>
    <row r="203" spans="2:25" ht="14.4" customHeight="1" x14ac:dyDescent="0.3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</row>
    <row r="204" spans="2:25" ht="14.4" customHeight="1" x14ac:dyDescent="0.3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</row>
    <row r="205" spans="2:25" ht="14.4" customHeight="1" x14ac:dyDescent="0.3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</row>
    <row r="206" spans="2:25" ht="14.4" customHeight="1" x14ac:dyDescent="0.3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</row>
    <row r="207" spans="2:25" ht="14.4" customHeight="1" x14ac:dyDescent="0.3">
      <c r="B207" s="110" t="s">
        <v>204</v>
      </c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</row>
    <row r="208" spans="2:25" ht="14.4" customHeight="1" x14ac:dyDescent="0.3"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</row>
    <row r="209" ht="14.4" customHeight="1" x14ac:dyDescent="0.3"/>
    <row r="210" ht="14.4" customHeight="1" x14ac:dyDescent="0.3"/>
    <row r="211" ht="14.4" customHeight="1" x14ac:dyDescent="0.3"/>
    <row r="212" ht="14.4" customHeight="1" x14ac:dyDescent="0.3"/>
    <row r="213" ht="14.4" customHeight="1" x14ac:dyDescent="0.3"/>
    <row r="214" ht="14.4" customHeight="1" x14ac:dyDescent="0.3"/>
    <row r="215" ht="14.4" customHeight="1" x14ac:dyDescent="0.3"/>
    <row r="216" ht="14.4" customHeight="1" x14ac:dyDescent="0.3"/>
    <row r="217" ht="14.4" customHeight="1" x14ac:dyDescent="0.3"/>
    <row r="218" ht="14.4" customHeight="1" x14ac:dyDescent="0.3"/>
    <row r="219" ht="14.4" customHeight="1" x14ac:dyDescent="0.3"/>
    <row r="220" ht="14.4" customHeight="1" x14ac:dyDescent="0.3"/>
    <row r="221" ht="14.4" customHeight="1" x14ac:dyDescent="0.3"/>
    <row r="222" ht="14.4" customHeight="1" x14ac:dyDescent="0.3"/>
    <row r="223" ht="14.4" customHeight="1" x14ac:dyDescent="0.3"/>
    <row r="224" ht="14.4" customHeight="1" x14ac:dyDescent="0.3"/>
    <row r="225" spans="2:25" ht="14.4" customHeight="1" x14ac:dyDescent="0.3">
      <c r="B225" s="109" t="s">
        <v>205</v>
      </c>
      <c r="C225" s="109"/>
      <c r="D225" s="10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</row>
    <row r="226" spans="2:25" ht="14.4" customHeight="1" x14ac:dyDescent="0.3"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</row>
    <row r="227" spans="2:25" ht="14.4" customHeight="1" x14ac:dyDescent="0.3">
      <c r="B227" s="108" t="s">
        <v>206</v>
      </c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</row>
    <row r="228" spans="2:25" ht="14.4" customHeight="1" x14ac:dyDescent="0.3"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</row>
    <row r="229" spans="2:25" ht="14.4" customHeight="1" x14ac:dyDescent="0.3"/>
    <row r="230" spans="2:25" ht="14.4" customHeight="1" x14ac:dyDescent="0.3"/>
    <row r="231" spans="2:25" ht="14.4" customHeight="1" x14ac:dyDescent="0.3"/>
    <row r="232" spans="2:25" ht="14.4" customHeight="1" x14ac:dyDescent="0.3"/>
    <row r="233" spans="2:25" ht="14.4" customHeight="1" x14ac:dyDescent="0.3"/>
    <row r="234" spans="2:25" ht="14.4" customHeight="1" x14ac:dyDescent="0.3"/>
    <row r="235" spans="2:25" ht="14.4" customHeight="1" x14ac:dyDescent="0.3"/>
    <row r="236" spans="2:25" ht="14.4" customHeight="1" x14ac:dyDescent="0.3"/>
    <row r="237" spans="2:25" ht="14.4" customHeight="1" x14ac:dyDescent="0.3"/>
    <row r="238" spans="2:25" ht="14.4" customHeight="1" x14ac:dyDescent="0.3"/>
    <row r="239" spans="2:25" ht="14.4" customHeight="1" x14ac:dyDescent="0.3"/>
    <row r="240" spans="2:25" ht="14.4" customHeight="1" x14ac:dyDescent="0.3"/>
    <row r="241" spans="2:25" ht="14.4" customHeight="1" x14ac:dyDescent="0.3"/>
    <row r="242" spans="2:25" ht="14.4" customHeight="1" x14ac:dyDescent="0.3"/>
    <row r="243" spans="2:25" ht="14.4" customHeight="1" x14ac:dyDescent="0.3"/>
    <row r="244" spans="2:25" ht="14.4" customHeight="1" x14ac:dyDescent="0.3"/>
    <row r="245" spans="2:25" ht="14.4" customHeight="1" x14ac:dyDescent="0.3"/>
    <row r="246" spans="2:25" ht="14.4" customHeight="1" x14ac:dyDescent="0.3"/>
    <row r="247" spans="2:25" ht="14.4" customHeight="1" x14ac:dyDescent="0.3"/>
    <row r="248" spans="2:25" ht="14.4" customHeight="1" x14ac:dyDescent="0.3"/>
    <row r="249" spans="2:25" ht="14.4" customHeight="1" x14ac:dyDescent="0.3"/>
    <row r="250" spans="2:25" ht="14.4" customHeight="1" x14ac:dyDescent="0.3"/>
    <row r="251" spans="2:25" ht="14.4" customHeight="1" x14ac:dyDescent="0.3"/>
    <row r="252" spans="2:25" ht="14.4" customHeight="1" x14ac:dyDescent="0.3"/>
    <row r="253" spans="2:25" ht="14.4" customHeight="1" x14ac:dyDescent="0.3"/>
    <row r="254" spans="2:25" ht="14.4" customHeight="1" x14ac:dyDescent="0.3">
      <c r="B254" s="108" t="s">
        <v>207</v>
      </c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</row>
    <row r="255" spans="2:25" ht="14.4" customHeight="1" x14ac:dyDescent="0.3"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</row>
    <row r="256" spans="2:25" ht="14.4" customHeight="1" x14ac:dyDescent="0.3"/>
    <row r="257" ht="14.4" customHeight="1" x14ac:dyDescent="0.3"/>
    <row r="258" ht="14.4" customHeight="1" x14ac:dyDescent="0.3"/>
    <row r="259" ht="14.4" customHeight="1" x14ac:dyDescent="0.3"/>
    <row r="260" ht="14.4" customHeight="1" x14ac:dyDescent="0.3"/>
    <row r="261" ht="14.4" customHeight="1" x14ac:dyDescent="0.3"/>
    <row r="262" ht="14.4" customHeight="1" x14ac:dyDescent="0.3"/>
    <row r="263" ht="14.4" customHeight="1" x14ac:dyDescent="0.3"/>
    <row r="264" ht="14.4" customHeight="1" x14ac:dyDescent="0.3"/>
    <row r="265" ht="14.4" customHeight="1" x14ac:dyDescent="0.3"/>
    <row r="266" ht="14.4" customHeight="1" x14ac:dyDescent="0.3"/>
    <row r="267" ht="14.4" customHeight="1" x14ac:dyDescent="0.3"/>
    <row r="268" ht="14.4" customHeight="1" x14ac:dyDescent="0.3"/>
    <row r="269" ht="14.4" customHeight="1" x14ac:dyDescent="0.3"/>
    <row r="270" ht="14.4" customHeight="1" x14ac:dyDescent="0.3"/>
    <row r="271" ht="14.4" customHeight="1" x14ac:dyDescent="0.3"/>
    <row r="272" ht="14.4" customHeight="1" x14ac:dyDescent="0.3"/>
    <row r="273" spans="2:25" ht="14.4" customHeight="1" x14ac:dyDescent="0.3"/>
    <row r="274" spans="2:25" ht="14.4" customHeight="1" x14ac:dyDescent="0.3">
      <c r="B274" s="109" t="s">
        <v>208</v>
      </c>
      <c r="C274" s="109"/>
      <c r="D274" s="10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</row>
    <row r="275" spans="2:25" ht="14.4" customHeight="1" x14ac:dyDescent="0.3"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</row>
    <row r="276" spans="2:25" ht="14.4" customHeight="1" x14ac:dyDescent="0.3">
      <c r="B276" s="108" t="s">
        <v>209</v>
      </c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</row>
    <row r="277" spans="2:25" ht="14.4" customHeight="1" x14ac:dyDescent="0.3"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</row>
    <row r="278" spans="2:25" ht="14.4" customHeight="1" x14ac:dyDescent="0.3"/>
    <row r="279" spans="2:25" ht="14.4" customHeight="1" x14ac:dyDescent="0.3"/>
    <row r="280" spans="2:25" ht="14.4" customHeight="1" x14ac:dyDescent="0.3"/>
    <row r="281" spans="2:25" ht="14.4" customHeight="1" x14ac:dyDescent="0.3"/>
    <row r="282" spans="2:25" ht="14.4" customHeight="1" x14ac:dyDescent="0.3"/>
    <row r="283" spans="2:25" ht="14.4" customHeight="1" x14ac:dyDescent="0.3"/>
    <row r="284" spans="2:25" ht="14.4" customHeight="1" x14ac:dyDescent="0.3"/>
    <row r="285" spans="2:25" ht="14.4" customHeight="1" x14ac:dyDescent="0.3"/>
    <row r="286" spans="2:25" ht="14.4" customHeight="1" x14ac:dyDescent="0.3"/>
    <row r="287" spans="2:25" ht="14.4" customHeight="1" x14ac:dyDescent="0.3"/>
    <row r="288" spans="2:25" ht="14.4" customHeight="1" x14ac:dyDescent="0.3"/>
    <row r="289" ht="14.4" customHeight="1" x14ac:dyDescent="0.3"/>
    <row r="290" ht="14.4" customHeight="1" x14ac:dyDescent="0.3"/>
    <row r="291" ht="14.4" customHeight="1" x14ac:dyDescent="0.3"/>
    <row r="292" ht="14.4" customHeight="1" x14ac:dyDescent="0.3"/>
    <row r="293" ht="14.4" customHeight="1" x14ac:dyDescent="0.3"/>
    <row r="294" ht="14.4" customHeight="1" x14ac:dyDescent="0.3"/>
    <row r="295" ht="14.4" customHeight="1" x14ac:dyDescent="0.3"/>
    <row r="296" ht="14.4" customHeight="1" x14ac:dyDescent="0.3"/>
    <row r="297" ht="14.4" customHeight="1" x14ac:dyDescent="0.3"/>
    <row r="298" ht="14.4" customHeight="1" x14ac:dyDescent="0.3"/>
    <row r="299" ht="14.4" customHeight="1" x14ac:dyDescent="0.3"/>
    <row r="300" ht="14.4" customHeight="1" x14ac:dyDescent="0.3"/>
    <row r="301" ht="14.4" customHeight="1" x14ac:dyDescent="0.3"/>
    <row r="302" ht="14.4" customHeight="1" x14ac:dyDescent="0.3"/>
    <row r="303" ht="14.4" customHeight="1" x14ac:dyDescent="0.3"/>
    <row r="304" ht="14.4" customHeight="1" x14ac:dyDescent="0.3"/>
    <row r="305" spans="2:25" ht="14.4" customHeight="1" x14ac:dyDescent="0.3"/>
    <row r="306" spans="2:25" ht="14.4" customHeight="1" x14ac:dyDescent="0.3"/>
    <row r="307" spans="2:25" ht="14.4" customHeight="1" x14ac:dyDescent="0.3"/>
    <row r="308" spans="2:25" ht="14.4" customHeight="1" x14ac:dyDescent="0.3"/>
    <row r="309" spans="2:25" ht="14.4" customHeight="1" x14ac:dyDescent="0.3"/>
    <row r="310" spans="2:25" ht="14.4" customHeight="1" x14ac:dyDescent="0.3"/>
    <row r="311" spans="2:25" ht="14.4" customHeight="1" x14ac:dyDescent="0.3"/>
    <row r="312" spans="2:25" ht="14.4" customHeight="1" x14ac:dyDescent="0.3">
      <c r="B312" s="109" t="s">
        <v>210</v>
      </c>
      <c r="C312" s="109"/>
      <c r="D312" s="10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</row>
    <row r="313" spans="2:25" ht="14.4" customHeight="1" x14ac:dyDescent="0.3"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</row>
    <row r="314" spans="2:25" ht="14.4" customHeight="1" x14ac:dyDescent="0.3">
      <c r="B314" s="108" t="s">
        <v>213</v>
      </c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</row>
    <row r="315" spans="2:25" ht="14.4" customHeight="1" x14ac:dyDescent="0.3"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</row>
    <row r="316" spans="2:25" ht="14.4" customHeight="1" x14ac:dyDescent="0.3"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</row>
    <row r="317" spans="2:25" ht="14.4" customHeight="1" x14ac:dyDescent="0.3"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</row>
    <row r="318" spans="2:25" ht="14.4" customHeight="1" x14ac:dyDescent="0.3"/>
    <row r="319" spans="2:25" ht="14.4" customHeight="1" x14ac:dyDescent="0.3"/>
    <row r="320" spans="2:25" ht="14.4" customHeight="1" x14ac:dyDescent="0.3"/>
    <row r="321" spans="2:25" ht="14.4" customHeight="1" x14ac:dyDescent="0.3"/>
    <row r="322" spans="2:25" ht="14.4" customHeight="1" x14ac:dyDescent="0.3"/>
    <row r="323" spans="2:25" ht="14.4" customHeight="1" x14ac:dyDescent="0.3"/>
    <row r="324" spans="2:25" ht="14.4" customHeight="1" x14ac:dyDescent="0.3"/>
    <row r="325" spans="2:25" ht="14.4" customHeight="1" x14ac:dyDescent="0.3"/>
    <row r="326" spans="2:25" ht="14.4" customHeight="1" x14ac:dyDescent="0.3"/>
    <row r="327" spans="2:25" ht="14.4" customHeight="1" x14ac:dyDescent="0.3"/>
    <row r="328" spans="2:25" ht="14.4" customHeight="1" x14ac:dyDescent="0.3"/>
    <row r="329" spans="2:25" ht="14.4" customHeight="1" x14ac:dyDescent="0.3"/>
    <row r="330" spans="2:25" ht="14.4" customHeight="1" x14ac:dyDescent="0.3">
      <c r="B330" s="109" t="s">
        <v>212</v>
      </c>
      <c r="C330" s="109"/>
      <c r="D330" s="10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</row>
    <row r="331" spans="2:25" ht="14.4" customHeight="1" x14ac:dyDescent="0.3"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</row>
    <row r="332" spans="2:25" ht="14.4" customHeight="1" x14ac:dyDescent="0.3">
      <c r="B332" s="108" t="s">
        <v>215</v>
      </c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</row>
    <row r="333" spans="2:25" ht="14.4" customHeight="1" x14ac:dyDescent="0.3">
      <c r="B333" s="108"/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</row>
    <row r="334" spans="2:25" ht="14.4" customHeight="1" x14ac:dyDescent="0.3"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</row>
    <row r="335" spans="2:25" ht="14.4" customHeight="1" x14ac:dyDescent="0.3"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</row>
    <row r="336" spans="2:25" ht="14.4" customHeight="1" x14ac:dyDescent="0.3"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</row>
    <row r="337" spans="2:25" ht="14.4" customHeight="1" x14ac:dyDescent="0.3"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</row>
    <row r="338" spans="2:25" ht="14.4" customHeight="1" x14ac:dyDescent="0.3"/>
    <row r="339" spans="2:25" ht="14.4" customHeight="1" x14ac:dyDescent="0.3"/>
    <row r="340" spans="2:25" ht="14.4" customHeight="1" x14ac:dyDescent="0.3"/>
    <row r="341" spans="2:25" ht="14.4" customHeight="1" x14ac:dyDescent="0.3">
      <c r="S341" s="92" t="s">
        <v>202</v>
      </c>
      <c r="T341" s="92"/>
      <c r="U341" s="92"/>
      <c r="V341" s="92"/>
    </row>
    <row r="342" spans="2:25" ht="14.4" customHeight="1" x14ac:dyDescent="0.3">
      <c r="S342" s="87" t="s">
        <v>211</v>
      </c>
      <c r="T342" s="83"/>
      <c r="U342" s="83"/>
      <c r="V342" s="83"/>
    </row>
    <row r="343" spans="2:25" ht="14.4" customHeight="1" x14ac:dyDescent="0.3"/>
    <row r="344" spans="2:25" ht="14.4" customHeight="1" x14ac:dyDescent="0.3"/>
    <row r="345" spans="2:25" ht="14.4" customHeight="1" x14ac:dyDescent="0.3"/>
    <row r="346" spans="2:25" ht="14.4" customHeight="1" x14ac:dyDescent="0.3"/>
    <row r="347" spans="2:25" ht="14.4" customHeight="1" x14ac:dyDescent="0.3"/>
    <row r="348" spans="2:25" ht="14.4" customHeight="1" x14ac:dyDescent="0.3"/>
    <row r="349" spans="2:25" ht="14.4" customHeight="1" x14ac:dyDescent="0.3"/>
    <row r="350" spans="2:25" ht="14.4" customHeight="1" x14ac:dyDescent="0.3"/>
    <row r="351" spans="2:25" ht="14.4" customHeight="1" x14ac:dyDescent="0.3"/>
    <row r="352" spans="2:25" ht="14.4" customHeight="1" x14ac:dyDescent="0.3"/>
    <row r="353" ht="14.4" customHeight="1" x14ac:dyDescent="0.3"/>
    <row r="354" ht="14.4" customHeight="1" x14ac:dyDescent="0.3"/>
    <row r="355" ht="14.4" customHeight="1" x14ac:dyDescent="0.3"/>
    <row r="356" ht="14.4" customHeight="1" x14ac:dyDescent="0.3"/>
    <row r="357" ht="14.4" customHeight="1" x14ac:dyDescent="0.3"/>
    <row r="358" ht="14.4" customHeight="1" x14ac:dyDescent="0.3"/>
    <row r="359" ht="14.4" customHeight="1" x14ac:dyDescent="0.3"/>
    <row r="360" ht="14.4" customHeight="1" x14ac:dyDescent="0.3"/>
    <row r="361" ht="14.4" customHeight="1" x14ac:dyDescent="0.3"/>
    <row r="362" ht="14.4" customHeight="1" x14ac:dyDescent="0.3"/>
    <row r="363" ht="14.4" customHeight="1" x14ac:dyDescent="0.3"/>
    <row r="364" ht="14.4" customHeight="1" x14ac:dyDescent="0.3"/>
    <row r="365" ht="14.4" customHeight="1" x14ac:dyDescent="0.3"/>
    <row r="366" ht="14.4" customHeight="1" x14ac:dyDescent="0.3"/>
    <row r="367" ht="14.4" customHeight="1" x14ac:dyDescent="0.3"/>
    <row r="368" ht="14.4" customHeight="1" x14ac:dyDescent="0.3"/>
    <row r="369" spans="2:25" ht="14.4" customHeight="1" x14ac:dyDescent="0.3"/>
    <row r="370" spans="2:25" ht="14.4" customHeight="1" x14ac:dyDescent="0.3">
      <c r="B370" s="109" t="s">
        <v>214</v>
      </c>
      <c r="C370" s="109"/>
      <c r="D370" s="10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</row>
    <row r="371" spans="2:25" ht="14.4" customHeight="1" x14ac:dyDescent="0.3"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</row>
    <row r="372" spans="2:25" ht="14.4" customHeight="1" x14ac:dyDescent="0.3">
      <c r="B372" s="108" t="s">
        <v>216</v>
      </c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</row>
    <row r="373" spans="2:25" ht="14.4" customHeight="1" x14ac:dyDescent="0.3">
      <c r="B373" s="108"/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</row>
    <row r="374" spans="2:25" ht="14.4" customHeight="1" x14ac:dyDescent="0.3"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</row>
    <row r="375" spans="2:25" ht="14.4" customHeight="1" x14ac:dyDescent="0.3"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</row>
    <row r="376" spans="2:25" ht="14.4" customHeight="1" x14ac:dyDescent="0.3"/>
    <row r="377" spans="2:25" ht="14.4" customHeight="1" x14ac:dyDescent="0.3"/>
    <row r="378" spans="2:25" ht="14.4" customHeight="1" x14ac:dyDescent="0.3"/>
    <row r="379" spans="2:25" ht="14.4" customHeight="1" x14ac:dyDescent="0.3"/>
    <row r="380" spans="2:25" ht="14.4" customHeight="1" x14ac:dyDescent="0.3"/>
    <row r="381" spans="2:25" ht="14.4" customHeight="1" x14ac:dyDescent="0.3"/>
    <row r="382" spans="2:25" ht="14.4" customHeight="1" x14ac:dyDescent="0.3"/>
    <row r="383" spans="2:25" ht="14.4" customHeight="1" x14ac:dyDescent="0.3"/>
    <row r="384" spans="2:25" ht="14.4" customHeight="1" x14ac:dyDescent="0.3"/>
    <row r="385" ht="14.4" customHeight="1" x14ac:dyDescent="0.3"/>
    <row r="386" ht="14.4" customHeight="1" x14ac:dyDescent="0.3"/>
    <row r="387" ht="14.4" customHeight="1" x14ac:dyDescent="0.3"/>
    <row r="388" ht="14.4" customHeight="1" x14ac:dyDescent="0.3"/>
    <row r="389" ht="14.4" customHeight="1" x14ac:dyDescent="0.3"/>
    <row r="390" ht="14.4" customHeight="1" x14ac:dyDescent="0.3"/>
    <row r="391" ht="14.4" customHeight="1" x14ac:dyDescent="0.3"/>
    <row r="392" ht="14.4" customHeight="1" x14ac:dyDescent="0.3"/>
    <row r="393" ht="14.4" customHeight="1" x14ac:dyDescent="0.3"/>
    <row r="394" ht="14.4" customHeight="1" x14ac:dyDescent="0.3"/>
    <row r="395" ht="14.4" customHeight="1" x14ac:dyDescent="0.3"/>
    <row r="396" ht="14.4" customHeight="1" x14ac:dyDescent="0.3"/>
    <row r="397" ht="14.4" customHeight="1" x14ac:dyDescent="0.3"/>
    <row r="398" ht="14.4" customHeight="1" x14ac:dyDescent="0.3"/>
    <row r="399" ht="14.4" customHeight="1" x14ac:dyDescent="0.3"/>
    <row r="400" ht="14.4" customHeight="1" x14ac:dyDescent="0.3"/>
    <row r="401" spans="2:25" ht="14.4" customHeight="1" x14ac:dyDescent="0.3">
      <c r="B401" s="108" t="s">
        <v>219</v>
      </c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</row>
    <row r="402" spans="2:25" ht="14.4" customHeight="1" x14ac:dyDescent="0.3"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</row>
    <row r="403" spans="2:25" ht="14.4" customHeight="1" x14ac:dyDescent="0.3">
      <c r="B403" s="108"/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</row>
    <row r="404" spans="2:25" ht="14.4" customHeight="1" x14ac:dyDescent="0.3">
      <c r="B404" s="108"/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</row>
  </sheetData>
  <sheetProtection algorithmName="SHA-512" hashValue="KqOHl2Zh00nEYOiJbIDDdmBXL/RF0rtyGxa1GB0agCKs9jl+uihSWFpD+Wz2ge3KBeSzJrUedQQE5/OetUaTrg==" saltValue="e6PZrZxPOP8zH656jaLsGg==" spinCount="100000" sheet="1" objects="1" scenarios="1" selectLockedCells="1"/>
  <mergeCells count="41">
    <mergeCell ref="B401:Y404"/>
    <mergeCell ref="I20:L20"/>
    <mergeCell ref="U20:X20"/>
    <mergeCell ref="B185:D185"/>
    <mergeCell ref="M196:P196"/>
    <mergeCell ref="B207:Y208"/>
    <mergeCell ref="B188:Y192"/>
    <mergeCell ref="B54:Y55"/>
    <mergeCell ref="B170:Y172"/>
    <mergeCell ref="M144:P144"/>
    <mergeCell ref="B155:Y156"/>
    <mergeCell ref="B168:D168"/>
    <mergeCell ref="B98:Y99"/>
    <mergeCell ref="M103:P103"/>
    <mergeCell ref="M107:P107"/>
    <mergeCell ref="M111:P111"/>
    <mergeCell ref="B122:Y123"/>
    <mergeCell ref="K5:O6"/>
    <mergeCell ref="E10:G11"/>
    <mergeCell ref="I10:K11"/>
    <mergeCell ref="M10:O11"/>
    <mergeCell ref="B15:Y17"/>
    <mergeCell ref="B137:D137"/>
    <mergeCell ref="B139:Y140"/>
    <mergeCell ref="B96:D96"/>
    <mergeCell ref="B330:D330"/>
    <mergeCell ref="B46:Y51"/>
    <mergeCell ref="B52:D52"/>
    <mergeCell ref="B75:D75"/>
    <mergeCell ref="B77:Y78"/>
    <mergeCell ref="B225:D225"/>
    <mergeCell ref="B227:Y228"/>
    <mergeCell ref="B254:Y255"/>
    <mergeCell ref="B274:D274"/>
    <mergeCell ref="B276:Y277"/>
    <mergeCell ref="S341:V341"/>
    <mergeCell ref="B332:Y335"/>
    <mergeCell ref="B370:D370"/>
    <mergeCell ref="B372:Y375"/>
    <mergeCell ref="B312:D312"/>
    <mergeCell ref="B314:Y317"/>
  </mergeCells>
  <hyperlinks>
    <hyperlink ref="E10:G11" location="GÁS!C21" display="INICIO" xr:uid="{DCBB236E-9B3B-4BD8-965A-2D7994EA009B}"/>
    <hyperlink ref="I10:K11" location="'DIMENSIONADOR - GN'!D7" display="DIMENSIONADOR - GN" xr:uid="{5520F3B3-15A9-4565-A4FC-1E27058EC08A}"/>
    <hyperlink ref="M10:O11" location="'DIMENSIONADOR - GLP'!D7" display="DIMENSIONADOR - GLP" xr:uid="{17457A3E-E0D5-493A-8D0D-8A1E35B5CF06}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GÁS</vt:lpstr>
      <vt:lpstr>DIMENSIONADOR - GN</vt:lpstr>
      <vt:lpstr>DIMENSIONADOR - GLP</vt:lpstr>
      <vt:lpstr>REFERÊNCIA</vt:lpstr>
      <vt:lpstr>AJUDA</vt:lpstr>
      <vt:lpstr>CONSUMO</vt:lpstr>
      <vt:lpstr>'DIMENSIONADOR - GLP'!TRECHO_PARCIAL</vt:lpstr>
      <vt:lpstr>'DIMENSIONADOR - GN'!TRECHO_PARCIAL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Barbosa Junior</dc:creator>
  <cp:lastModifiedBy>Orlando Barbosa Junior</cp:lastModifiedBy>
  <cp:lastPrinted>2025-10-23T14:13:29Z</cp:lastPrinted>
  <dcterms:created xsi:type="dcterms:W3CDTF">2025-09-03T20:12:33Z</dcterms:created>
  <dcterms:modified xsi:type="dcterms:W3CDTF">2026-01-07T13:02:06Z</dcterms:modified>
</cp:coreProperties>
</file>