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N:\10 - PLANILHAS\CÁLCULO GASPEX\"/>
    </mc:Choice>
  </mc:AlternateContent>
  <xr:revisionPtr revIDLastSave="0" documentId="13_ncr:1_{8FE979F5-CE7B-4591-9988-0F373329AE7C}" xr6:coauthVersionLast="41" xr6:coauthVersionMax="41" xr10:uidLastSave="{00000000-0000-0000-0000-000000000000}"/>
  <bookViews>
    <workbookView xWindow="-108" yWindow="-108" windowWidth="23256" windowHeight="13176" tabRatio="0" xr2:uid="{00000000-000D-0000-FFFF-FFFF00000000}"/>
  </bookViews>
  <sheets>
    <sheet name="Home Emmeti" sheetId="2" r:id="rId1"/>
    <sheet name="GASPEX EMMETI - GN" sheetId="3" r:id="rId2"/>
    <sheet name="GASPEX EMMETI - GLP" sheetId="6" r:id="rId3"/>
  </sheets>
  <definedNames>
    <definedName name="CONSUMO" localSheetId="2">'GASPEX EMMETI - GLP'!$D$99:$I$138</definedName>
    <definedName name="CONSUMO">'GASPEX EMMETI - GN'!$D$99:$I$138</definedName>
    <definedName name="TRECHO_PARCIAL" comment="SIBOLOGIA DE CADA TREHO" localSheetId="2">'GASPEX EMMETI - GLP'!$B$9</definedName>
    <definedName name="TRECHO_PARCIAL" comment="SIBOLOGIA DE CADA TREHO" localSheetId="1">'GASPEX EMMETI - GN'!$B$9</definedName>
    <definedName name="TRECHO_PARCIAL" comment="SIBOLOGIA DE CADA TREH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3" i="3" l="1"/>
  <c r="N62" i="3"/>
  <c r="D62" i="3"/>
  <c r="E13" i="6"/>
  <c r="O13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12" i="6"/>
  <c r="P63" i="6" l="1"/>
  <c r="P62" i="6" s="1"/>
  <c r="X64" i="6"/>
  <c r="X65" i="6"/>
  <c r="X68" i="6"/>
  <c r="X69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3" i="6"/>
  <c r="X34" i="6"/>
  <c r="X35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63" i="6"/>
  <c r="X12" i="6"/>
  <c r="D74" i="6"/>
  <c r="Q73" i="6" s="1"/>
  <c r="D56" i="6"/>
  <c r="Q55" i="6" s="1"/>
  <c r="D74" i="3"/>
  <c r="D56" i="3"/>
  <c r="P63" i="3"/>
  <c r="P62" i="3"/>
  <c r="E12" i="3"/>
  <c r="X12" i="3"/>
  <c r="X13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6" i="3"/>
  <c r="X47" i="3"/>
  <c r="X48" i="3"/>
  <c r="X50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14" i="6" l="1"/>
  <c r="X63" i="3"/>
  <c r="E15" i="6" l="1"/>
  <c r="E62" i="3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12" i="6"/>
  <c r="N62" i="6"/>
  <c r="D62" i="6"/>
  <c r="R64" i="6"/>
  <c r="R65" i="6"/>
  <c r="R66" i="6"/>
  <c r="R67" i="6"/>
  <c r="R68" i="6"/>
  <c r="R69" i="6"/>
  <c r="R70" i="6"/>
  <c r="R71" i="6"/>
  <c r="R63" i="6"/>
  <c r="R64" i="3"/>
  <c r="R65" i="3"/>
  <c r="R66" i="3"/>
  <c r="R67" i="3"/>
  <c r="R68" i="3"/>
  <c r="R69" i="3"/>
  <c r="R70" i="3"/>
  <c r="R71" i="3"/>
  <c r="R63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12" i="3"/>
  <c r="E16" i="6" l="1"/>
  <c r="E62" i="6"/>
  <c r="E17" i="6" l="1"/>
  <c r="P11" i="3"/>
  <c r="E18" i="6" l="1"/>
  <c r="O71" i="6"/>
  <c r="J71" i="6"/>
  <c r="F71" i="6"/>
  <c r="G71" i="6" s="1"/>
  <c r="O70" i="6"/>
  <c r="J70" i="6"/>
  <c r="F70" i="6"/>
  <c r="G70" i="6" s="1"/>
  <c r="O69" i="6"/>
  <c r="J69" i="6"/>
  <c r="F69" i="6"/>
  <c r="G69" i="6" s="1"/>
  <c r="O68" i="6"/>
  <c r="J68" i="6"/>
  <c r="F68" i="6"/>
  <c r="G68" i="6" s="1"/>
  <c r="O67" i="6"/>
  <c r="J67" i="6"/>
  <c r="F67" i="6"/>
  <c r="G67" i="6" s="1"/>
  <c r="O66" i="6"/>
  <c r="J66" i="6"/>
  <c r="F66" i="6"/>
  <c r="G66" i="6" s="1"/>
  <c r="O65" i="6"/>
  <c r="J65" i="6"/>
  <c r="F65" i="6"/>
  <c r="G65" i="6" s="1"/>
  <c r="O64" i="6"/>
  <c r="J64" i="6"/>
  <c r="F64" i="6"/>
  <c r="G64" i="6" s="1"/>
  <c r="O63" i="6"/>
  <c r="J63" i="6"/>
  <c r="F63" i="6"/>
  <c r="G63" i="6" s="1"/>
  <c r="R62" i="6"/>
  <c r="O62" i="6"/>
  <c r="J62" i="6"/>
  <c r="O52" i="6"/>
  <c r="J52" i="6"/>
  <c r="O51" i="6"/>
  <c r="J51" i="6"/>
  <c r="O50" i="6"/>
  <c r="J50" i="6"/>
  <c r="O49" i="6"/>
  <c r="J49" i="6"/>
  <c r="O48" i="6"/>
  <c r="J48" i="6"/>
  <c r="O47" i="6"/>
  <c r="J47" i="6"/>
  <c r="O46" i="6"/>
  <c r="J46" i="6"/>
  <c r="O45" i="6"/>
  <c r="J45" i="6"/>
  <c r="O44" i="6"/>
  <c r="J44" i="6"/>
  <c r="O43" i="6"/>
  <c r="J43" i="6"/>
  <c r="O42" i="6"/>
  <c r="J42" i="6"/>
  <c r="O41" i="6"/>
  <c r="J41" i="6"/>
  <c r="O40" i="6"/>
  <c r="J40" i="6"/>
  <c r="O39" i="6"/>
  <c r="J39" i="6"/>
  <c r="O38" i="6"/>
  <c r="J38" i="6"/>
  <c r="O37" i="6"/>
  <c r="J37" i="6"/>
  <c r="O36" i="6"/>
  <c r="J36" i="6"/>
  <c r="O35" i="6"/>
  <c r="J35" i="6"/>
  <c r="O34" i="6"/>
  <c r="J34" i="6"/>
  <c r="O33" i="6"/>
  <c r="J33" i="6"/>
  <c r="O32" i="6"/>
  <c r="J32" i="6"/>
  <c r="O31" i="6"/>
  <c r="J31" i="6"/>
  <c r="O30" i="6"/>
  <c r="J30" i="6"/>
  <c r="O29" i="6"/>
  <c r="J29" i="6"/>
  <c r="O28" i="6"/>
  <c r="J28" i="6"/>
  <c r="O27" i="6"/>
  <c r="J27" i="6"/>
  <c r="O26" i="6"/>
  <c r="J26" i="6"/>
  <c r="O25" i="6"/>
  <c r="J25" i="6"/>
  <c r="O24" i="6"/>
  <c r="J24" i="6"/>
  <c r="O23" i="6"/>
  <c r="J23" i="6"/>
  <c r="O22" i="6"/>
  <c r="J22" i="6"/>
  <c r="O21" i="6"/>
  <c r="J21" i="6"/>
  <c r="O20" i="6"/>
  <c r="J20" i="6"/>
  <c r="O19" i="6"/>
  <c r="J19" i="6"/>
  <c r="O18" i="6"/>
  <c r="J18" i="6"/>
  <c r="O17" i="6"/>
  <c r="J17" i="6"/>
  <c r="O16" i="6"/>
  <c r="J16" i="6"/>
  <c r="O15" i="6"/>
  <c r="J15" i="6"/>
  <c r="F15" i="6"/>
  <c r="G15" i="6" s="1"/>
  <c r="O14" i="6"/>
  <c r="J14" i="6"/>
  <c r="F14" i="6"/>
  <c r="G14" i="6" s="1"/>
  <c r="J13" i="6"/>
  <c r="F13" i="6"/>
  <c r="G13" i="6" s="1"/>
  <c r="O12" i="6"/>
  <c r="J12" i="6"/>
  <c r="F12" i="6"/>
  <c r="G12" i="6" s="1"/>
  <c r="P11" i="6"/>
  <c r="N11" i="6"/>
  <c r="O11" i="6" s="1"/>
  <c r="J11" i="6"/>
  <c r="E11" i="6"/>
  <c r="D11" i="6"/>
  <c r="Z8" i="6"/>
  <c r="E19" i="6" l="1"/>
  <c r="V70" i="6"/>
  <c r="W70" i="6" s="1"/>
  <c r="V66" i="6"/>
  <c r="W66" i="6" s="1"/>
  <c r="V69" i="6"/>
  <c r="W69" i="6" s="1"/>
  <c r="V67" i="6"/>
  <c r="W67" i="6" s="1"/>
  <c r="V71" i="6"/>
  <c r="W71" i="6" s="1"/>
  <c r="V64" i="6"/>
  <c r="W64" i="6" s="1"/>
  <c r="V68" i="6"/>
  <c r="W68" i="6" s="1"/>
  <c r="V12" i="6"/>
  <c r="W12" i="6" s="1"/>
  <c r="V65" i="6"/>
  <c r="W65" i="6" s="1"/>
  <c r="V63" i="6"/>
  <c r="V15" i="6"/>
  <c r="W15" i="6" s="1"/>
  <c r="V14" i="6"/>
  <c r="W14" i="6" s="1"/>
  <c r="V13" i="6"/>
  <c r="W13" i="6" s="1"/>
  <c r="F62" i="6"/>
  <c r="G11" i="6"/>
  <c r="V11" i="6" s="1"/>
  <c r="W11" i="6" s="1"/>
  <c r="G62" i="6"/>
  <c r="V62" i="6" s="1"/>
  <c r="F11" i="6"/>
  <c r="Z8" i="3"/>
  <c r="O62" i="3"/>
  <c r="R62" i="3"/>
  <c r="J62" i="3"/>
  <c r="O12" i="3"/>
  <c r="N11" i="3"/>
  <c r="O11" i="3" s="1"/>
  <c r="J11" i="3"/>
  <c r="D11" i="3"/>
  <c r="J71" i="3"/>
  <c r="J70" i="3"/>
  <c r="J69" i="3"/>
  <c r="J68" i="3"/>
  <c r="J67" i="3"/>
  <c r="J66" i="3"/>
  <c r="J65" i="3"/>
  <c r="J64" i="3"/>
  <c r="J6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O70" i="3"/>
  <c r="F70" i="3"/>
  <c r="G70" i="3" s="1"/>
  <c r="O69" i="3"/>
  <c r="F69" i="3"/>
  <c r="G69" i="3" s="1"/>
  <c r="O51" i="3"/>
  <c r="Q55" i="3"/>
  <c r="O50" i="3"/>
  <c r="O49" i="3"/>
  <c r="O48" i="3"/>
  <c r="O47" i="3"/>
  <c r="O46" i="3"/>
  <c r="O45" i="3"/>
  <c r="O44" i="3"/>
  <c r="O43" i="3"/>
  <c r="N22" i="2"/>
  <c r="E20" i="6" l="1"/>
  <c r="V70" i="3"/>
  <c r="V69" i="3"/>
  <c r="F62" i="3"/>
  <c r="G62" i="3" s="1"/>
  <c r="K12" i="6"/>
  <c r="L12" i="6" s="1"/>
  <c r="M12" i="6" s="1"/>
  <c r="F17" i="6"/>
  <c r="G17" i="6" s="1"/>
  <c r="V17" i="6" s="1"/>
  <c r="W17" i="6" s="1"/>
  <c r="O71" i="3"/>
  <c r="F71" i="3"/>
  <c r="G71" i="3" s="1"/>
  <c r="O68" i="3"/>
  <c r="F68" i="3"/>
  <c r="G68" i="3" s="1"/>
  <c r="O67" i="3"/>
  <c r="F67" i="3"/>
  <c r="G67" i="3" s="1"/>
  <c r="O66" i="3"/>
  <c r="F66" i="3"/>
  <c r="G66" i="3" s="1"/>
  <c r="O65" i="3"/>
  <c r="F65" i="3"/>
  <c r="G65" i="3" s="1"/>
  <c r="O64" i="3"/>
  <c r="F64" i="3"/>
  <c r="G64" i="3" s="1"/>
  <c r="O63" i="3"/>
  <c r="F63" i="3"/>
  <c r="G63" i="3" s="1"/>
  <c r="O52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F14" i="3"/>
  <c r="G14" i="3" s="1"/>
  <c r="F13" i="3"/>
  <c r="G13" i="3" s="1"/>
  <c r="E21" i="6" l="1"/>
  <c r="V66" i="3"/>
  <c r="V64" i="3"/>
  <c r="V68" i="3"/>
  <c r="V67" i="3"/>
  <c r="V71" i="3"/>
  <c r="V14" i="3"/>
  <c r="V13" i="3"/>
  <c r="V65" i="3"/>
  <c r="V63" i="3"/>
  <c r="F16" i="6"/>
  <c r="G16" i="6" s="1"/>
  <c r="V16" i="6" s="1"/>
  <c r="W16" i="6" s="1"/>
  <c r="K11" i="6"/>
  <c r="L11" i="6" s="1"/>
  <c r="M11" i="6" s="1"/>
  <c r="T11" i="6" s="1"/>
  <c r="F12" i="3"/>
  <c r="G12" i="3" s="1"/>
  <c r="E11" i="3"/>
  <c r="F15" i="3"/>
  <c r="G15" i="3" s="1"/>
  <c r="V15" i="3" s="1"/>
  <c r="E22" i="6" l="1"/>
  <c r="S11" i="6"/>
  <c r="T12" i="6" s="1"/>
  <c r="V12" i="3"/>
  <c r="F11" i="3"/>
  <c r="E23" i="6" l="1"/>
  <c r="U11" i="6"/>
  <c r="K12" i="3"/>
  <c r="G11" i="3"/>
  <c r="V11" i="3" s="1"/>
  <c r="E24" i="6" l="1"/>
  <c r="S12" i="6"/>
  <c r="U12" i="6" s="1"/>
  <c r="P13" i="6"/>
  <c r="F18" i="6"/>
  <c r="G18" i="6" s="1"/>
  <c r="V18" i="6" s="1"/>
  <c r="W18" i="6" s="1"/>
  <c r="K13" i="6"/>
  <c r="L13" i="6" s="1"/>
  <c r="M13" i="6" s="1"/>
  <c r="K11" i="3"/>
  <c r="L11" i="3" s="1"/>
  <c r="M11" i="3" s="1"/>
  <c r="S11" i="3" s="1"/>
  <c r="T11" i="3" s="1"/>
  <c r="S12" i="3" s="1"/>
  <c r="W11" i="3"/>
  <c r="F16" i="3" s="1"/>
  <c r="G16" i="3" s="1"/>
  <c r="V16" i="3" s="1"/>
  <c r="W12" i="3"/>
  <c r="F17" i="3" s="1"/>
  <c r="G17" i="3" s="1"/>
  <c r="V17" i="3" s="1"/>
  <c r="L12" i="3"/>
  <c r="M12" i="3" s="1"/>
  <c r="E25" i="6" l="1"/>
  <c r="T12" i="3"/>
  <c r="T13" i="6"/>
  <c r="S13" i="6" s="1"/>
  <c r="U13" i="6" s="1"/>
  <c r="E26" i="6" l="1"/>
  <c r="P14" i="6"/>
  <c r="K13" i="3"/>
  <c r="L13" i="3" s="1"/>
  <c r="M13" i="3" s="1"/>
  <c r="U11" i="3"/>
  <c r="E27" i="6" l="1"/>
  <c r="P13" i="3"/>
  <c r="S13" i="3" s="1"/>
  <c r="W13" i="3"/>
  <c r="F18" i="3" s="1"/>
  <c r="G18" i="3" s="1"/>
  <c r="V18" i="3" s="1"/>
  <c r="E28" i="6" l="1"/>
  <c r="U13" i="3"/>
  <c r="U12" i="3"/>
  <c r="W14" i="3"/>
  <c r="F19" i="3" s="1"/>
  <c r="G19" i="3" s="1"/>
  <c r="V19" i="3" s="1"/>
  <c r="K14" i="3"/>
  <c r="L14" i="3" s="1"/>
  <c r="M14" i="3" s="1"/>
  <c r="E29" i="6" l="1"/>
  <c r="E33" i="6"/>
  <c r="T13" i="3"/>
  <c r="W15" i="3"/>
  <c r="F20" i="3" s="1"/>
  <c r="G20" i="3" s="1"/>
  <c r="V20" i="3" s="1"/>
  <c r="K15" i="3"/>
  <c r="L15" i="3" s="1"/>
  <c r="M15" i="3" s="1"/>
  <c r="E30" i="6" l="1"/>
  <c r="E34" i="6"/>
  <c r="P14" i="3"/>
  <c r="S14" i="3" s="1"/>
  <c r="W16" i="3"/>
  <c r="F21" i="3" s="1"/>
  <c r="G21" i="3" s="1"/>
  <c r="V21" i="3" s="1"/>
  <c r="K16" i="3"/>
  <c r="L16" i="3" s="1"/>
  <c r="M16" i="3" s="1"/>
  <c r="E31" i="6" l="1"/>
  <c r="E32" i="6"/>
  <c r="E35" i="6"/>
  <c r="T14" i="3"/>
  <c r="P15" i="3" s="1"/>
  <c r="S15" i="3" s="1"/>
  <c r="W17" i="3"/>
  <c r="F22" i="3" s="1"/>
  <c r="G22" i="3" s="1"/>
  <c r="V22" i="3" s="1"/>
  <c r="K17" i="3"/>
  <c r="L17" i="3" s="1"/>
  <c r="M17" i="3" s="1"/>
  <c r="E37" i="6" l="1"/>
  <c r="E36" i="6"/>
  <c r="T15" i="3"/>
  <c r="X15" i="3" s="1"/>
  <c r="U14" i="3"/>
  <c r="U15" i="3"/>
  <c r="X14" i="3"/>
  <c r="W18" i="3"/>
  <c r="F23" i="3" s="1"/>
  <c r="G23" i="3" s="1"/>
  <c r="V23" i="3" s="1"/>
  <c r="K18" i="3"/>
  <c r="L18" i="3" s="1"/>
  <c r="M18" i="3" s="1"/>
  <c r="W19" i="3" l="1"/>
  <c r="F24" i="3" s="1"/>
  <c r="G24" i="3" s="1"/>
  <c r="V24" i="3" s="1"/>
  <c r="K19" i="3"/>
  <c r="L19" i="3" s="1"/>
  <c r="M19" i="3" s="1"/>
  <c r="W20" i="3" l="1"/>
  <c r="F25" i="3" s="1"/>
  <c r="G25" i="3" s="1"/>
  <c r="V25" i="3" s="1"/>
  <c r="K20" i="3"/>
  <c r="L20" i="3" s="1"/>
  <c r="M20" i="3" s="1"/>
  <c r="W21" i="3" l="1"/>
  <c r="F26" i="3" s="1"/>
  <c r="G26" i="3" s="1"/>
  <c r="V26" i="3" s="1"/>
  <c r="K21" i="3"/>
  <c r="L21" i="3" s="1"/>
  <c r="M21" i="3" s="1"/>
  <c r="W22" i="3" l="1"/>
  <c r="F27" i="3" s="1"/>
  <c r="G27" i="3" s="1"/>
  <c r="V27" i="3" s="1"/>
  <c r="K22" i="3"/>
  <c r="L22" i="3" s="1"/>
  <c r="M22" i="3" s="1"/>
  <c r="W23" i="3" l="1"/>
  <c r="F28" i="3" s="1"/>
  <c r="G28" i="3" s="1"/>
  <c r="V28" i="3" s="1"/>
  <c r="K23" i="3"/>
  <c r="L23" i="3" s="1"/>
  <c r="M23" i="3" s="1"/>
  <c r="W24" i="3" l="1"/>
  <c r="F29" i="3" s="1"/>
  <c r="G29" i="3" s="1"/>
  <c r="V29" i="3" s="1"/>
  <c r="K24" i="3"/>
  <c r="L24" i="3" s="1"/>
  <c r="M24" i="3" s="1"/>
  <c r="W25" i="3" l="1"/>
  <c r="F30" i="3" s="1"/>
  <c r="G30" i="3" s="1"/>
  <c r="V30" i="3" s="1"/>
  <c r="K25" i="3"/>
  <c r="L25" i="3" s="1"/>
  <c r="M25" i="3" s="1"/>
  <c r="W26" i="3" l="1"/>
  <c r="F31" i="3" s="1"/>
  <c r="G31" i="3" s="1"/>
  <c r="V31" i="3" s="1"/>
  <c r="K26" i="3"/>
  <c r="L26" i="3" s="1"/>
  <c r="M26" i="3" s="1"/>
  <c r="W27" i="3" l="1"/>
  <c r="F32" i="3" s="1"/>
  <c r="G32" i="3" s="1"/>
  <c r="V32" i="3" s="1"/>
  <c r="K27" i="3"/>
  <c r="L27" i="3" s="1"/>
  <c r="M27" i="3" s="1"/>
  <c r="W28" i="3" l="1"/>
  <c r="F33" i="3" s="1"/>
  <c r="G33" i="3" s="1"/>
  <c r="V33" i="3" s="1"/>
  <c r="K28" i="3"/>
  <c r="L28" i="3" s="1"/>
  <c r="M28" i="3" s="1"/>
  <c r="W29" i="3" l="1"/>
  <c r="F34" i="3" s="1"/>
  <c r="G34" i="3" s="1"/>
  <c r="V34" i="3" s="1"/>
  <c r="K29" i="3"/>
  <c r="L29" i="3" s="1"/>
  <c r="M29" i="3" s="1"/>
  <c r="W30" i="3" l="1"/>
  <c r="F35" i="3" s="1"/>
  <c r="G35" i="3" s="1"/>
  <c r="V35" i="3" s="1"/>
  <c r="K30" i="3"/>
  <c r="L30" i="3" s="1"/>
  <c r="M30" i="3" s="1"/>
  <c r="W31" i="3" l="1"/>
  <c r="F36" i="3" s="1"/>
  <c r="G36" i="3" s="1"/>
  <c r="V36" i="3" s="1"/>
  <c r="K31" i="3"/>
  <c r="L31" i="3" s="1"/>
  <c r="M31" i="3" s="1"/>
  <c r="W32" i="3" l="1"/>
  <c r="F37" i="3" s="1"/>
  <c r="G37" i="3" s="1"/>
  <c r="V37" i="3" s="1"/>
  <c r="K32" i="3"/>
  <c r="L32" i="3" s="1"/>
  <c r="M32" i="3" s="1"/>
  <c r="W33" i="3" l="1"/>
  <c r="F38" i="3" s="1"/>
  <c r="G38" i="3" s="1"/>
  <c r="V38" i="3" s="1"/>
  <c r="K33" i="3"/>
  <c r="L33" i="3" s="1"/>
  <c r="M33" i="3" s="1"/>
  <c r="W34" i="3" l="1"/>
  <c r="F39" i="3" s="1"/>
  <c r="G39" i="3" s="1"/>
  <c r="V39" i="3" s="1"/>
  <c r="K34" i="3"/>
  <c r="L34" i="3" s="1"/>
  <c r="M34" i="3" s="1"/>
  <c r="W35" i="3" l="1"/>
  <c r="F40" i="3" s="1"/>
  <c r="G40" i="3" s="1"/>
  <c r="V40" i="3" s="1"/>
  <c r="K35" i="3"/>
  <c r="L35" i="3" s="1"/>
  <c r="M35" i="3" s="1"/>
  <c r="W36" i="3" l="1"/>
  <c r="F41" i="3" s="1"/>
  <c r="G41" i="3" s="1"/>
  <c r="V41" i="3" s="1"/>
  <c r="K36" i="3"/>
  <c r="L36" i="3" s="1"/>
  <c r="M36" i="3" s="1"/>
  <c r="W37" i="3" l="1"/>
  <c r="F42" i="3" s="1"/>
  <c r="G42" i="3" s="1"/>
  <c r="V42" i="3" s="1"/>
  <c r="K37" i="3"/>
  <c r="L37" i="3" s="1"/>
  <c r="M37" i="3" s="1"/>
  <c r="W38" i="3" l="1"/>
  <c r="F43" i="3" s="1"/>
  <c r="G43" i="3" s="1"/>
  <c r="V43" i="3" s="1"/>
  <c r="K38" i="3"/>
  <c r="L38" i="3" s="1"/>
  <c r="M38" i="3" s="1"/>
  <c r="W39" i="3" l="1"/>
  <c r="F44" i="3" s="1"/>
  <c r="G44" i="3" s="1"/>
  <c r="V44" i="3" s="1"/>
  <c r="K39" i="3"/>
  <c r="L39" i="3" s="1"/>
  <c r="M39" i="3" s="1"/>
  <c r="W40" i="3" l="1"/>
  <c r="F45" i="3" s="1"/>
  <c r="G45" i="3" s="1"/>
  <c r="V45" i="3" s="1"/>
  <c r="K40" i="3"/>
  <c r="L40" i="3" s="1"/>
  <c r="M40" i="3" s="1"/>
  <c r="W41" i="3" l="1"/>
  <c r="F46" i="3" s="1"/>
  <c r="G46" i="3" s="1"/>
  <c r="V46" i="3" s="1"/>
  <c r="K41" i="3"/>
  <c r="L41" i="3" s="1"/>
  <c r="M41" i="3" s="1"/>
  <c r="W42" i="3" l="1"/>
  <c r="F47" i="3" s="1"/>
  <c r="G47" i="3" s="1"/>
  <c r="V47" i="3" s="1"/>
  <c r="K42" i="3"/>
  <c r="L42" i="3" s="1"/>
  <c r="M42" i="3" s="1"/>
  <c r="K43" i="3" l="1"/>
  <c r="L43" i="3" s="1"/>
  <c r="M43" i="3" s="1"/>
  <c r="W43" i="3"/>
  <c r="F48" i="3" s="1"/>
  <c r="G48" i="3" s="1"/>
  <c r="V48" i="3" s="1"/>
  <c r="K44" i="3" l="1"/>
  <c r="L44" i="3" s="1"/>
  <c r="M44" i="3" s="1"/>
  <c r="W44" i="3"/>
  <c r="F49" i="3" s="1"/>
  <c r="G49" i="3" s="1"/>
  <c r="V49" i="3" s="1"/>
  <c r="K45" i="3" l="1"/>
  <c r="L45" i="3" s="1"/>
  <c r="M45" i="3" s="1"/>
  <c r="W45" i="3"/>
  <c r="F50" i="3" s="1"/>
  <c r="G50" i="3" s="1"/>
  <c r="V50" i="3" s="1"/>
  <c r="K46" i="3" l="1"/>
  <c r="L46" i="3" s="1"/>
  <c r="M46" i="3" s="1"/>
  <c r="W46" i="3"/>
  <c r="F51" i="3" s="1"/>
  <c r="G51" i="3" s="1"/>
  <c r="V51" i="3" s="1"/>
  <c r="X45" i="3" l="1"/>
  <c r="K47" i="3"/>
  <c r="L47" i="3" s="1"/>
  <c r="M47" i="3" s="1"/>
  <c r="W47" i="3"/>
  <c r="F52" i="3" s="1"/>
  <c r="G52" i="3" s="1"/>
  <c r="V52" i="3" s="1"/>
  <c r="K48" i="3" l="1"/>
  <c r="L48" i="3" s="1"/>
  <c r="M48" i="3" s="1"/>
  <c r="W48" i="3"/>
  <c r="K49" i="3" l="1"/>
  <c r="L49" i="3" s="1"/>
  <c r="M49" i="3" s="1"/>
  <c r="W49" i="3"/>
  <c r="K50" i="3" l="1"/>
  <c r="L50" i="3" s="1"/>
  <c r="M50" i="3" s="1"/>
  <c r="W50" i="3"/>
  <c r="X49" i="3" l="1"/>
  <c r="W51" i="3"/>
  <c r="K51" i="3"/>
  <c r="L51" i="3" s="1"/>
  <c r="M51" i="3" s="1"/>
  <c r="W52" i="3" l="1"/>
  <c r="K52" i="3"/>
  <c r="L52" i="3" s="1"/>
  <c r="M52" i="3" s="1"/>
  <c r="X51" i="3" l="1"/>
  <c r="V62" i="3" l="1"/>
  <c r="W62" i="3" l="1"/>
  <c r="K62" i="3"/>
  <c r="L62" i="3" s="1"/>
  <c r="M62" i="3" s="1"/>
  <c r="K63" i="3"/>
  <c r="L63" i="3" s="1"/>
  <c r="M63" i="3" s="1"/>
  <c r="W63" i="3"/>
  <c r="S62" i="3" l="1"/>
  <c r="S63" i="3" s="1"/>
  <c r="T63" i="3" s="1"/>
  <c r="T62" i="3" l="1"/>
  <c r="Q73" i="3" s="1"/>
  <c r="U62" i="3"/>
  <c r="U63" i="3" l="1"/>
  <c r="P64" i="3"/>
  <c r="W64" i="3"/>
  <c r="K64" i="3"/>
  <c r="L64" i="3" s="1"/>
  <c r="M64" i="3" s="1"/>
  <c r="S64" i="3" s="1"/>
  <c r="T64" i="3" l="1"/>
  <c r="X64" i="3" s="1"/>
  <c r="U64" i="3"/>
  <c r="P65" i="3" l="1"/>
  <c r="W65" i="3"/>
  <c r="K65" i="3"/>
  <c r="L65" i="3" s="1"/>
  <c r="M65" i="3" s="1"/>
  <c r="S65" i="3" l="1"/>
  <c r="T65" i="3" s="1"/>
  <c r="X65" i="3"/>
  <c r="W66" i="3"/>
  <c r="U65" i="3" l="1"/>
  <c r="P66" i="3"/>
  <c r="K66" i="3"/>
  <c r="L66" i="3" s="1"/>
  <c r="M66" i="3" s="1"/>
  <c r="S66" i="3" l="1"/>
  <c r="T66" i="3" s="1"/>
  <c r="X66" i="3" s="1"/>
  <c r="K67" i="3"/>
  <c r="L67" i="3" s="1"/>
  <c r="M67" i="3" s="1"/>
  <c r="S67" i="3" s="1"/>
  <c r="P67" i="3" l="1"/>
  <c r="T67" i="3" s="1"/>
  <c r="U66" i="3"/>
  <c r="U67" i="3"/>
  <c r="W67" i="3"/>
  <c r="X67" i="3" l="1"/>
  <c r="P68" i="3"/>
  <c r="W68" i="3"/>
  <c r="K68" i="3"/>
  <c r="L68" i="3" s="1"/>
  <c r="M68" i="3" s="1"/>
  <c r="S68" i="3" s="1"/>
  <c r="T68" i="3" l="1"/>
  <c r="X68" i="3" s="1"/>
  <c r="U68" i="3"/>
  <c r="K69" i="3"/>
  <c r="L69" i="3" s="1"/>
  <c r="M69" i="3" s="1"/>
  <c r="W69" i="3"/>
  <c r="S69" i="3" l="1"/>
  <c r="K70" i="3"/>
  <c r="L70" i="3" s="1"/>
  <c r="M70" i="3" s="1"/>
  <c r="W70" i="3"/>
  <c r="S70" i="3" l="1"/>
  <c r="U70" i="3" s="1"/>
  <c r="U69" i="3"/>
  <c r="K71" i="3"/>
  <c r="L71" i="3" s="1"/>
  <c r="M71" i="3" s="1"/>
  <c r="S71" i="3" s="1"/>
  <c r="W71" i="3"/>
  <c r="U71" i="3" l="1"/>
  <c r="F19" i="6" l="1"/>
  <c r="G19" i="6" s="1"/>
  <c r="V19" i="6" s="1"/>
  <c r="W19" i="6" s="1"/>
  <c r="K14" i="6" l="1"/>
  <c r="L14" i="6" s="1"/>
  <c r="M14" i="6" s="1"/>
  <c r="T14" i="6" s="1"/>
  <c r="P15" i="6" l="1"/>
  <c r="S14" i="6"/>
  <c r="U14" i="6" s="1"/>
  <c r="F20" i="6" l="1"/>
  <c r="G20" i="6" s="1"/>
  <c r="V20" i="6" s="1"/>
  <c r="W20" i="6" s="1"/>
  <c r="K15" i="6"/>
  <c r="L15" i="6" s="1"/>
  <c r="M15" i="6" s="1"/>
  <c r="T15" i="6" s="1"/>
  <c r="S15" i="6" l="1"/>
  <c r="U15" i="6" s="1"/>
  <c r="P16" i="6" l="1"/>
  <c r="F21" i="6"/>
  <c r="G21" i="6" s="1"/>
  <c r="V21" i="6" s="1"/>
  <c r="W21" i="6" s="1"/>
  <c r="K16" i="6"/>
  <c r="L16" i="6" s="1"/>
  <c r="M16" i="6" s="1"/>
  <c r="T16" i="6" l="1"/>
  <c r="S16" i="6" s="1"/>
  <c r="U16" i="6" s="1"/>
  <c r="P17" i="6" l="1"/>
  <c r="K17" i="6"/>
  <c r="L17" i="6" s="1"/>
  <c r="M17" i="6" s="1"/>
  <c r="F22" i="6"/>
  <c r="G22" i="6" s="1"/>
  <c r="V22" i="6" s="1"/>
  <c r="W22" i="6" s="1"/>
  <c r="T17" i="6" l="1"/>
  <c r="S17" i="6" s="1"/>
  <c r="U17" i="6" s="1"/>
  <c r="P18" i="6" l="1"/>
  <c r="K18" i="6"/>
  <c r="L18" i="6" s="1"/>
  <c r="M18" i="6" s="1"/>
  <c r="F23" i="6"/>
  <c r="G23" i="6" s="1"/>
  <c r="V23" i="6" s="1"/>
  <c r="W23" i="6" s="1"/>
  <c r="T18" i="6" l="1"/>
  <c r="P19" i="6" s="1"/>
  <c r="S18" i="6" l="1"/>
  <c r="U18" i="6" s="1"/>
  <c r="F24" i="6" l="1"/>
  <c r="G24" i="6" s="1"/>
  <c r="V24" i="6" s="1"/>
  <c r="W24" i="6" s="1"/>
  <c r="K19" i="6"/>
  <c r="L19" i="6" s="1"/>
  <c r="M19" i="6" s="1"/>
  <c r="T19" i="6" s="1"/>
  <c r="P20" i="6" l="1"/>
  <c r="S19" i="6"/>
  <c r="U19" i="6" s="1"/>
  <c r="K20" i="6" l="1"/>
  <c r="L20" i="6" s="1"/>
  <c r="M20" i="6" s="1"/>
  <c r="T20" i="6" s="1"/>
  <c r="F25" i="6"/>
  <c r="G25" i="6" s="1"/>
  <c r="V25" i="6" s="1"/>
  <c r="W25" i="6" s="1"/>
  <c r="S20" i="6" l="1"/>
  <c r="U20" i="6" s="1"/>
  <c r="P21" i="6" l="1"/>
  <c r="F26" i="6"/>
  <c r="G26" i="6" s="1"/>
  <c r="V26" i="6" s="1"/>
  <c r="W26" i="6" s="1"/>
  <c r="K21" i="6"/>
  <c r="L21" i="6" s="1"/>
  <c r="M21" i="6" s="1"/>
  <c r="T21" i="6" l="1"/>
  <c r="S21" i="6" s="1"/>
  <c r="U21" i="6" s="1"/>
  <c r="P22" i="6" l="1"/>
  <c r="K22" i="6"/>
  <c r="L22" i="6" s="1"/>
  <c r="M22" i="6" s="1"/>
  <c r="F27" i="6"/>
  <c r="G27" i="6" s="1"/>
  <c r="V27" i="6" s="1"/>
  <c r="W27" i="6" s="1"/>
  <c r="T22" i="6" l="1"/>
  <c r="S22" i="6" s="1"/>
  <c r="U22" i="6" s="1"/>
  <c r="P23" i="6" l="1"/>
  <c r="K23" i="6"/>
  <c r="L23" i="6" s="1"/>
  <c r="M23" i="6" s="1"/>
  <c r="F28" i="6"/>
  <c r="G28" i="6" s="1"/>
  <c r="V28" i="6" s="1"/>
  <c r="W28" i="6" s="1"/>
  <c r="T23" i="6" l="1"/>
  <c r="S23" i="6" s="1"/>
  <c r="U23" i="6" s="1"/>
  <c r="P24" i="6" l="1"/>
  <c r="K24" i="6"/>
  <c r="L24" i="6" s="1"/>
  <c r="M24" i="6" s="1"/>
  <c r="F29" i="6"/>
  <c r="G29" i="6" s="1"/>
  <c r="V29" i="6" s="1"/>
  <c r="W29" i="6" s="1"/>
  <c r="T24" i="6" l="1"/>
  <c r="P25" i="6" s="1"/>
  <c r="S24" i="6" l="1"/>
  <c r="U24" i="6" s="1"/>
  <c r="F30" i="6" l="1"/>
  <c r="G30" i="6" s="1"/>
  <c r="V30" i="6" s="1"/>
  <c r="W30" i="6" s="1"/>
  <c r="K25" i="6"/>
  <c r="L25" i="6" s="1"/>
  <c r="M25" i="6" s="1"/>
  <c r="T25" i="6" s="1"/>
  <c r="S25" i="6" l="1"/>
  <c r="U25" i="6" s="1"/>
  <c r="P26" i="6" l="1"/>
  <c r="F31" i="6"/>
  <c r="G31" i="6" s="1"/>
  <c r="V31" i="6" s="1"/>
  <c r="W31" i="6" s="1"/>
  <c r="K26" i="6"/>
  <c r="L26" i="6" s="1"/>
  <c r="M26" i="6" s="1"/>
  <c r="T26" i="6" l="1"/>
  <c r="S26" i="6" s="1"/>
  <c r="U26" i="6" s="1"/>
  <c r="P27" i="6" l="1"/>
  <c r="F32" i="6"/>
  <c r="G32" i="6" s="1"/>
  <c r="V32" i="6" s="1"/>
  <c r="W32" i="6" s="1"/>
  <c r="K27" i="6"/>
  <c r="L27" i="6" s="1"/>
  <c r="M27" i="6" s="1"/>
  <c r="T27" i="6" l="1"/>
  <c r="P28" i="6" s="1"/>
  <c r="S27" i="6" l="1"/>
  <c r="U27" i="6" s="1"/>
  <c r="F33" i="6" l="1"/>
  <c r="G33" i="6" s="1"/>
  <c r="V33" i="6" s="1"/>
  <c r="W33" i="6" s="1"/>
  <c r="K28" i="6"/>
  <c r="L28" i="6" s="1"/>
  <c r="M28" i="6" s="1"/>
  <c r="T28" i="6" s="1"/>
  <c r="S28" i="6" l="1"/>
  <c r="U28" i="6" s="1"/>
  <c r="P29" i="6" l="1"/>
  <c r="F34" i="6"/>
  <c r="G34" i="6" s="1"/>
  <c r="V34" i="6" s="1"/>
  <c r="W34" i="6" s="1"/>
  <c r="K29" i="6"/>
  <c r="L29" i="6" s="1"/>
  <c r="M29" i="6" s="1"/>
  <c r="T29" i="6" l="1"/>
  <c r="S29" i="6" s="1"/>
  <c r="U29" i="6" s="1"/>
  <c r="P30" i="6" l="1"/>
  <c r="K30" i="6"/>
  <c r="L30" i="6" s="1"/>
  <c r="M30" i="6" s="1"/>
  <c r="F35" i="6"/>
  <c r="G35" i="6" s="1"/>
  <c r="V35" i="6" s="1"/>
  <c r="W35" i="6" s="1"/>
  <c r="T30" i="6" l="1"/>
  <c r="S30" i="6" s="1"/>
  <c r="U30" i="6" s="1"/>
  <c r="P31" i="6" l="1"/>
  <c r="F36" i="6"/>
  <c r="G36" i="6" s="1"/>
  <c r="V36" i="6" s="1"/>
  <c r="W36" i="6" s="1"/>
  <c r="K31" i="6"/>
  <c r="L31" i="6" s="1"/>
  <c r="M31" i="6" s="1"/>
  <c r="T31" i="6" l="1"/>
  <c r="S31" i="6" s="1"/>
  <c r="U31" i="6" s="1"/>
  <c r="K32" i="6" l="1"/>
  <c r="L32" i="6" s="1"/>
  <c r="M32" i="6" s="1"/>
  <c r="F37" i="6"/>
  <c r="G37" i="6" s="1"/>
  <c r="V37" i="6" s="1"/>
  <c r="W37" i="6" s="1"/>
  <c r="F38" i="6" l="1"/>
  <c r="G38" i="6" s="1"/>
  <c r="V38" i="6" s="1"/>
  <c r="W38" i="6" s="1"/>
  <c r="K33" i="6"/>
  <c r="L33" i="6" s="1"/>
  <c r="M33" i="6" s="1"/>
  <c r="K34" i="6" l="1"/>
  <c r="L34" i="6" s="1"/>
  <c r="M34" i="6" s="1"/>
  <c r="F39" i="6"/>
  <c r="G39" i="6" s="1"/>
  <c r="V39" i="6" s="1"/>
  <c r="W39" i="6" s="1"/>
  <c r="K35" i="6" l="1"/>
  <c r="L35" i="6" s="1"/>
  <c r="M35" i="6" s="1"/>
  <c r="F40" i="6"/>
  <c r="G40" i="6" s="1"/>
  <c r="V40" i="6" s="1"/>
  <c r="W40" i="6" s="1"/>
  <c r="K36" i="6" l="1"/>
  <c r="L36" i="6" s="1"/>
  <c r="M36" i="6" s="1"/>
  <c r="F41" i="6"/>
  <c r="G41" i="6" s="1"/>
  <c r="V41" i="6" s="1"/>
  <c r="W41" i="6" s="1"/>
  <c r="F42" i="6" l="1"/>
  <c r="G42" i="6" s="1"/>
  <c r="V42" i="6" s="1"/>
  <c r="W42" i="6" s="1"/>
  <c r="K37" i="6"/>
  <c r="L37" i="6" s="1"/>
  <c r="M37" i="6" s="1"/>
  <c r="X37" i="6" s="1"/>
  <c r="F43" i="6" l="1"/>
  <c r="G43" i="6" s="1"/>
  <c r="V43" i="6" s="1"/>
  <c r="W43" i="6" s="1"/>
  <c r="K38" i="6"/>
  <c r="L38" i="6" s="1"/>
  <c r="M38" i="6" s="1"/>
  <c r="F44" i="6" l="1"/>
  <c r="G44" i="6" s="1"/>
  <c r="V44" i="6" s="1"/>
  <c r="W44" i="6" s="1"/>
  <c r="K39" i="6"/>
  <c r="L39" i="6" s="1"/>
  <c r="M39" i="6" s="1"/>
  <c r="F45" i="6" l="1"/>
  <c r="G45" i="6" s="1"/>
  <c r="V45" i="6" s="1"/>
  <c r="W45" i="6" s="1"/>
  <c r="K40" i="6"/>
  <c r="L40" i="6" s="1"/>
  <c r="M40" i="6" s="1"/>
  <c r="K41" i="6" l="1"/>
  <c r="L41" i="6" s="1"/>
  <c r="M41" i="6" s="1"/>
  <c r="F46" i="6"/>
  <c r="G46" i="6" s="1"/>
  <c r="V46" i="6" s="1"/>
  <c r="W46" i="6" s="1"/>
  <c r="K42" i="6" l="1"/>
  <c r="L42" i="6" s="1"/>
  <c r="M42" i="6" s="1"/>
  <c r="F47" i="6"/>
  <c r="G47" i="6" s="1"/>
  <c r="V47" i="6" s="1"/>
  <c r="W47" i="6" s="1"/>
  <c r="K43" i="6" l="1"/>
  <c r="L43" i="6" s="1"/>
  <c r="M43" i="6" s="1"/>
  <c r="F48" i="6"/>
  <c r="G48" i="6" s="1"/>
  <c r="V48" i="6" s="1"/>
  <c r="W48" i="6" s="1"/>
  <c r="K44" i="6" l="1"/>
  <c r="L44" i="6" s="1"/>
  <c r="M44" i="6" s="1"/>
  <c r="F49" i="6"/>
  <c r="G49" i="6" s="1"/>
  <c r="V49" i="6" s="1"/>
  <c r="W49" i="6" s="1"/>
  <c r="F50" i="6" l="1"/>
  <c r="G50" i="6" s="1"/>
  <c r="V50" i="6" s="1"/>
  <c r="W50" i="6" s="1"/>
  <c r="K45" i="6"/>
  <c r="L45" i="6" s="1"/>
  <c r="M45" i="6" s="1"/>
  <c r="F51" i="6" l="1"/>
  <c r="G51" i="6" s="1"/>
  <c r="V51" i="6" s="1"/>
  <c r="W51" i="6" s="1"/>
  <c r="K46" i="6"/>
  <c r="L46" i="6" s="1"/>
  <c r="M46" i="6" s="1"/>
  <c r="F52" i="6" l="1"/>
  <c r="G52" i="6" s="1"/>
  <c r="V52" i="6" s="1"/>
  <c r="W52" i="6" s="1"/>
  <c r="K47" i="6"/>
  <c r="L47" i="6" s="1"/>
  <c r="M47" i="6" s="1"/>
  <c r="K48" i="6" l="1"/>
  <c r="L48" i="6" s="1"/>
  <c r="M48" i="6" s="1"/>
  <c r="K49" i="6" l="1"/>
  <c r="L49" i="6" s="1"/>
  <c r="M49" i="6" s="1"/>
  <c r="K50" i="6" l="1"/>
  <c r="L50" i="6" s="1"/>
  <c r="M50" i="6" s="1"/>
  <c r="K51" i="6" l="1"/>
  <c r="L51" i="6" s="1"/>
  <c r="M51" i="6" s="1"/>
  <c r="K52" i="6" l="1"/>
  <c r="L52" i="6" s="1"/>
  <c r="M52" i="6" s="1"/>
  <c r="K62" i="6" l="1"/>
  <c r="L62" i="6" s="1"/>
  <c r="M62" i="6" s="1"/>
  <c r="S62" i="6" s="1"/>
  <c r="W62" i="6"/>
  <c r="K63" i="6"/>
  <c r="L63" i="6" s="1"/>
  <c r="M63" i="6" s="1"/>
  <c r="S63" i="6" s="1"/>
  <c r="T63" i="6" s="1"/>
  <c r="W63" i="6"/>
  <c r="T62" i="6" l="1"/>
  <c r="U62" i="6"/>
  <c r="P64" i="6" l="1"/>
  <c r="U63" i="6"/>
  <c r="K64" i="6" l="1"/>
  <c r="L64" i="6" s="1"/>
  <c r="M64" i="6" s="1"/>
  <c r="S64" i="6" l="1"/>
  <c r="T64" i="6" s="1"/>
  <c r="P65" i="6"/>
  <c r="U64" i="6" l="1"/>
  <c r="K65" i="6"/>
  <c r="L65" i="6" s="1"/>
  <c r="M65" i="6" s="1"/>
  <c r="S65" i="6" l="1"/>
  <c r="T65" i="6" s="1"/>
  <c r="P66" i="6"/>
  <c r="K66" i="6"/>
  <c r="L66" i="6" s="1"/>
  <c r="M66" i="6" s="1"/>
  <c r="S66" i="6" l="1"/>
  <c r="T66" i="6" s="1"/>
  <c r="U65" i="6"/>
  <c r="X66" i="6"/>
  <c r="K67" i="6"/>
  <c r="L67" i="6" s="1"/>
  <c r="M67" i="6" s="1"/>
  <c r="S67" i="6" s="1"/>
  <c r="U66" i="6" l="1"/>
  <c r="U67" i="6"/>
  <c r="X67" i="6" l="1"/>
  <c r="K68" i="6"/>
  <c r="L68" i="6" s="1"/>
  <c r="M68" i="6" s="1"/>
  <c r="S68" i="6" l="1"/>
  <c r="U68" i="6" s="1"/>
  <c r="K69" i="6"/>
  <c r="L69" i="6" s="1"/>
  <c r="M69" i="6" s="1"/>
  <c r="S69" i="6" l="1"/>
  <c r="U69" i="6" s="1"/>
  <c r="K70" i="6"/>
  <c r="L70" i="6" s="1"/>
  <c r="M70" i="6" s="1"/>
  <c r="S70" i="6" l="1"/>
  <c r="U70" i="6" s="1"/>
  <c r="X70" i="6"/>
  <c r="K71" i="6"/>
  <c r="L71" i="6" s="1"/>
  <c r="M71" i="6" s="1"/>
  <c r="S71" i="6" l="1"/>
  <c r="U71" i="6" s="1"/>
  <c r="X69" i="3" l="1"/>
  <c r="P32" i="6"/>
  <c r="T32" i="6" s="1"/>
  <c r="X71" i="3" l="1"/>
  <c r="P33" i="6"/>
  <c r="T33" i="6" s="1"/>
  <c r="X32" i="6"/>
  <c r="S32" i="6"/>
  <c r="U32" i="6" s="1"/>
  <c r="P34" i="6" l="1"/>
  <c r="S33" i="6"/>
  <c r="U33" i="6" s="1"/>
  <c r="T34" i="6" l="1"/>
  <c r="P35" i="6" s="1"/>
  <c r="T35" i="6" l="1"/>
  <c r="S34" i="6"/>
  <c r="U34" i="6" s="1"/>
  <c r="P36" i="6" l="1"/>
  <c r="T36" i="6" s="1"/>
  <c r="X36" i="6" s="1"/>
  <c r="S35" i="6"/>
  <c r="U35" i="6" s="1"/>
  <c r="P37" i="6" l="1"/>
  <c r="T37" i="6" s="1"/>
  <c r="P38" i="6" s="1"/>
  <c r="S36" i="6"/>
  <c r="U36" i="6" s="1"/>
  <c r="T38" i="6" l="1"/>
  <c r="P39" i="6" s="1"/>
  <c r="S37" i="6"/>
  <c r="U37" i="6" s="1"/>
  <c r="T39" i="6" l="1"/>
  <c r="P40" i="6" s="1"/>
  <c r="S38" i="6"/>
  <c r="U38" i="6" s="1"/>
  <c r="T40" i="6" l="1"/>
  <c r="P41" i="6" s="1"/>
  <c r="S39" i="6"/>
  <c r="U39" i="6" s="1"/>
  <c r="T41" i="6" l="1"/>
  <c r="P42" i="6" s="1"/>
  <c r="S40" i="6"/>
  <c r="U40" i="6" s="1"/>
  <c r="T42" i="6" l="1"/>
  <c r="P43" i="6" s="1"/>
  <c r="S41" i="6"/>
  <c r="U41" i="6" s="1"/>
  <c r="T43" i="6" l="1"/>
  <c r="P44" i="6" s="1"/>
  <c r="S42" i="6"/>
  <c r="U42" i="6" s="1"/>
  <c r="T44" i="6" l="1"/>
  <c r="P45" i="6" s="1"/>
  <c r="S43" i="6"/>
  <c r="U43" i="6" s="1"/>
  <c r="T45" i="6" l="1"/>
  <c r="P46" i="6" s="1"/>
  <c r="S44" i="6"/>
  <c r="U44" i="6" s="1"/>
  <c r="T46" i="6" l="1"/>
  <c r="P47" i="6" s="1"/>
  <c r="S45" i="6"/>
  <c r="U45" i="6" s="1"/>
  <c r="T47" i="6" l="1"/>
  <c r="P48" i="6" s="1"/>
  <c r="S46" i="6"/>
  <c r="U46" i="6" s="1"/>
  <c r="T48" i="6" l="1"/>
  <c r="P49" i="6" s="1"/>
  <c r="S47" i="6"/>
  <c r="U47" i="6" s="1"/>
  <c r="T49" i="6" l="1"/>
  <c r="P50" i="6" s="1"/>
  <c r="S48" i="6"/>
  <c r="U48" i="6" s="1"/>
  <c r="T50" i="6" l="1"/>
  <c r="S49" i="6"/>
  <c r="U49" i="6" s="1"/>
  <c r="P51" i="6" l="1"/>
  <c r="T51" i="6" s="1"/>
  <c r="X51" i="6" s="1"/>
  <c r="P52" i="6"/>
  <c r="S50" i="6"/>
  <c r="U50" i="6" s="1"/>
  <c r="T52" i="6" l="1"/>
  <c r="X52" i="6" s="1"/>
  <c r="S51" i="6"/>
  <c r="U51" i="6" s="1"/>
  <c r="S52" i="6" l="1"/>
  <c r="U52" i="6" s="1"/>
  <c r="P16" i="3"/>
  <c r="S16" i="3" l="1"/>
  <c r="T16" i="3" s="1"/>
  <c r="P17" i="3" s="1"/>
  <c r="S17" i="3" s="1"/>
  <c r="U16" i="3" l="1"/>
  <c r="U17" i="3"/>
  <c r="T17" i="3" l="1"/>
  <c r="P18" i="3" s="1"/>
  <c r="S18" i="3" s="1"/>
  <c r="U18" i="3" l="1"/>
  <c r="T18" i="3" l="1"/>
  <c r="P19" i="3" s="1"/>
  <c r="S19" i="3" s="1"/>
  <c r="U19" i="3" l="1"/>
  <c r="T19" i="3" l="1"/>
  <c r="P20" i="3" s="1"/>
  <c r="S20" i="3" s="1"/>
  <c r="U20" i="3" l="1"/>
  <c r="T20" i="3" l="1"/>
  <c r="P21" i="3" s="1"/>
  <c r="S21" i="3" s="1"/>
  <c r="U21" i="3" l="1"/>
  <c r="T21" i="3" l="1"/>
  <c r="P22" i="3" s="1"/>
  <c r="S22" i="3" s="1"/>
  <c r="U22" i="3" l="1"/>
  <c r="T22" i="3" l="1"/>
  <c r="P23" i="3" s="1"/>
  <c r="S23" i="3" s="1"/>
  <c r="U23" i="3" l="1"/>
  <c r="T23" i="3" l="1"/>
  <c r="P24" i="3" s="1"/>
  <c r="S24" i="3" s="1"/>
  <c r="U24" i="3" l="1"/>
  <c r="T24" i="3" l="1"/>
  <c r="P25" i="3" s="1"/>
  <c r="S25" i="3" s="1"/>
  <c r="U25" i="3" l="1"/>
  <c r="T25" i="3" l="1"/>
  <c r="P26" i="3" s="1"/>
  <c r="S26" i="3" s="1"/>
  <c r="U26" i="3" l="1"/>
  <c r="T26" i="3" l="1"/>
  <c r="P27" i="3" s="1"/>
  <c r="S27" i="3" l="1"/>
  <c r="T27" i="3" s="1"/>
  <c r="P28" i="3" s="1"/>
  <c r="S28" i="3" s="1"/>
  <c r="U27" i="3" l="1"/>
  <c r="U28" i="3"/>
  <c r="T28" i="3" l="1"/>
  <c r="P29" i="3" s="1"/>
  <c r="S29" i="3" s="1"/>
  <c r="U29" i="3" l="1"/>
  <c r="T29" i="3" l="1"/>
  <c r="P30" i="3" s="1"/>
  <c r="S30" i="3" s="1"/>
  <c r="U30" i="3" l="1"/>
  <c r="T30" i="3" l="1"/>
  <c r="P31" i="3" s="1"/>
  <c r="S31" i="3" s="1"/>
  <c r="U31" i="3" l="1"/>
  <c r="T31" i="3" l="1"/>
  <c r="P32" i="3" s="1"/>
  <c r="S32" i="3" s="1"/>
  <c r="U32" i="3" l="1"/>
  <c r="T32" i="3" l="1"/>
  <c r="P33" i="3" s="1"/>
  <c r="S33" i="3" s="1"/>
  <c r="U33" i="3" l="1"/>
  <c r="T33" i="3" l="1"/>
  <c r="P34" i="3" s="1"/>
  <c r="S34" i="3" s="1"/>
  <c r="U34" i="3" l="1"/>
  <c r="T34" i="3" l="1"/>
  <c r="P35" i="3" s="1"/>
  <c r="S35" i="3" s="1"/>
  <c r="U35" i="3" l="1"/>
  <c r="T35" i="3" l="1"/>
  <c r="P36" i="3" s="1"/>
  <c r="S36" i="3" s="1"/>
  <c r="U36" i="3" l="1"/>
  <c r="T36" i="3" l="1"/>
  <c r="P37" i="3" s="1"/>
  <c r="S37" i="3" l="1"/>
  <c r="U37" i="3" s="1"/>
  <c r="T37" i="3" l="1"/>
  <c r="P38" i="3" s="1"/>
  <c r="S38" i="3" s="1"/>
  <c r="U38" i="3" s="1"/>
  <c r="T38" i="3" l="1"/>
  <c r="P39" i="3" s="1"/>
  <c r="S39" i="3" s="1"/>
  <c r="U39" i="3" l="1"/>
  <c r="T39" i="3" l="1"/>
  <c r="P40" i="3" s="1"/>
  <c r="S40" i="3" s="1"/>
  <c r="U40" i="3" l="1"/>
  <c r="T40" i="3" l="1"/>
  <c r="P41" i="3" s="1"/>
  <c r="S41" i="3" s="1"/>
  <c r="U41" i="3" l="1"/>
  <c r="T41" i="3" l="1"/>
  <c r="P42" i="3" s="1"/>
  <c r="S42" i="3" s="1"/>
  <c r="U42" i="3" l="1"/>
  <c r="T42" i="3" l="1"/>
  <c r="P43" i="3" s="1"/>
  <c r="S43" i="3" s="1"/>
  <c r="U43" i="3" l="1"/>
  <c r="T43" i="3" l="1"/>
  <c r="P44" i="3" s="1"/>
  <c r="S44" i="3" s="1"/>
  <c r="U44" i="3" l="1"/>
  <c r="T44" i="3" l="1"/>
  <c r="P45" i="3" s="1"/>
  <c r="S45" i="3" s="1"/>
  <c r="U45" i="3" l="1"/>
  <c r="T45" i="3" l="1"/>
  <c r="P46" i="3" s="1"/>
  <c r="S46" i="3" s="1"/>
  <c r="U46" i="3" l="1"/>
  <c r="T46" i="3" l="1"/>
  <c r="P47" i="3" s="1"/>
  <c r="S47" i="3" s="1"/>
  <c r="U47" i="3" l="1"/>
  <c r="T47" i="3" l="1"/>
  <c r="P48" i="3" s="1"/>
  <c r="S48" i="3" s="1"/>
  <c r="U48" i="3" l="1"/>
  <c r="T48" i="3" l="1"/>
  <c r="P49" i="3" s="1"/>
  <c r="S49" i="3" s="1"/>
  <c r="U49" i="3" l="1"/>
  <c r="T49" i="3" l="1"/>
  <c r="P50" i="3" s="1"/>
  <c r="S50" i="3" s="1"/>
  <c r="U50" i="3" l="1"/>
  <c r="T50" i="3" l="1"/>
  <c r="P52" i="3" l="1"/>
  <c r="S52" i="3" s="1"/>
  <c r="P51" i="3"/>
  <c r="S51" i="3" s="1"/>
  <c r="U52" i="3" l="1"/>
  <c r="U51" i="3"/>
  <c r="T52" i="3" l="1"/>
  <c r="X52" i="3" s="1"/>
  <c r="T51" i="3"/>
  <c r="X71" i="6"/>
  <c r="P67" i="6"/>
  <c r="T67" i="6" l="1"/>
  <c r="P68" i="6" s="1"/>
  <c r="T68" i="6" l="1"/>
  <c r="P69" i="6" s="1"/>
  <c r="T69" i="6" l="1"/>
  <c r="P70" i="6" s="1"/>
  <c r="T70" i="6" l="1"/>
  <c r="P71" i="6" s="1"/>
  <c r="T71" i="6" s="1"/>
  <c r="P69" i="3" l="1"/>
  <c r="T69" i="3" s="1"/>
  <c r="P70" i="3" s="1"/>
  <c r="T70" i="3" s="1"/>
  <c r="P71" i="3" l="1"/>
  <c r="T71" i="3" s="1"/>
  <c r="X7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Marcelo</author>
    <author>Felipe</author>
  </authors>
  <commentList>
    <comment ref="W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Caso exista simultaneidade entre os equipamentos, preencher "SIM". Caso não tenha simultaneidade, entre os equipamento preencher "NÃO".
*Atenção: Para redes comerciais ou redes que alimentem somente um equipamento (residenciais ou comerciais) devemos admitir a simultaneidade de 100%, portanto preencher NÃO para simultaneidade.</t>
        </r>
      </text>
    </comment>
    <comment ref="I11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I12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12" authorId="1" shapeId="0" xr:uid="{00000000-0006-0000-0100-000004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13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13" authorId="1" shapeId="0" xr:uid="{00000000-0006-0000-0100-000006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14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14" authorId="1" shapeId="0" xr:uid="{00000000-0006-0000-0100-000008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15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15" authorId="1" shapeId="0" xr:uid="{00000000-0006-0000-0100-00000A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16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16" authorId="1" shapeId="0" xr:uid="{00000000-0006-0000-0100-00000C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17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17" authorId="1" shapeId="0" xr:uid="{00000000-0006-0000-0100-00000E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18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18" authorId="1" shapeId="0" xr:uid="{00000000-0006-0000-0100-000010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19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19" authorId="1" shapeId="0" xr:uid="{00000000-0006-0000-0100-000012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20" authorId="1" shapeId="0" xr:uid="{00000000-0006-0000-0100-000013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20" authorId="1" shapeId="0" xr:uid="{00000000-0006-0000-0100-000014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21" authorId="1" shapeId="0" xr:uid="{00000000-0006-0000-0100-000015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21" authorId="1" shapeId="0" xr:uid="{00000000-0006-0000-0100-000016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22" authorId="1" shapeId="0" xr:uid="{00000000-0006-0000-0100-000017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22" authorId="1" shapeId="0" xr:uid="{00000000-0006-0000-0100-000018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23" authorId="1" shapeId="0" xr:uid="{00000000-0006-0000-0100-000019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23" authorId="1" shapeId="0" xr:uid="{00000000-0006-0000-0100-00001A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24" authorId="1" shapeId="0" xr:uid="{00000000-0006-0000-0100-00001B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24" authorId="1" shapeId="0" xr:uid="{00000000-0006-0000-0100-00001C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25" authorId="1" shapeId="0" xr:uid="{00000000-0006-0000-0100-00001D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25" authorId="1" shapeId="0" xr:uid="{00000000-0006-0000-0100-00001E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26" authorId="1" shapeId="0" xr:uid="{00000000-0006-0000-0100-00001F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26" authorId="1" shapeId="0" xr:uid="{00000000-0006-0000-0100-000020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27" authorId="1" shapeId="0" xr:uid="{00000000-0006-0000-0100-000021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27" authorId="1" shapeId="0" xr:uid="{00000000-0006-0000-0100-000022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28" authorId="1" shapeId="0" xr:uid="{00000000-0006-0000-0100-000023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28" authorId="1" shapeId="0" xr:uid="{00000000-0006-0000-0100-000024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29" authorId="1" shapeId="0" xr:uid="{00000000-0006-0000-0100-000025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29" authorId="1" shapeId="0" xr:uid="{00000000-0006-0000-0100-000026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30" authorId="1" shapeId="0" xr:uid="{00000000-0006-0000-0100-000027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30" authorId="1" shapeId="0" xr:uid="{00000000-0006-0000-0100-000028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31" authorId="1" shapeId="0" xr:uid="{00000000-0006-0000-0100-000029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31" authorId="1" shapeId="0" xr:uid="{00000000-0006-0000-0100-00002A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32" authorId="1" shapeId="0" xr:uid="{00000000-0006-0000-0100-00002B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32" authorId="1" shapeId="0" xr:uid="{00000000-0006-0000-0100-00002C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33" authorId="1" shapeId="0" xr:uid="{00000000-0006-0000-0100-00002D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33" authorId="1" shapeId="0" xr:uid="{00000000-0006-0000-0100-00002E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34" authorId="1" shapeId="0" xr:uid="{00000000-0006-0000-0100-00002F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34" authorId="1" shapeId="0" xr:uid="{00000000-0006-0000-0100-000030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35" authorId="1" shapeId="0" xr:uid="{00000000-0006-0000-0100-000031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35" authorId="1" shapeId="0" xr:uid="{00000000-0006-0000-0100-000032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36" authorId="1" shapeId="0" xr:uid="{00000000-0006-0000-0100-000033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36" authorId="1" shapeId="0" xr:uid="{00000000-0006-0000-0100-000034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37" authorId="1" shapeId="0" xr:uid="{00000000-0006-0000-0100-000035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37" authorId="1" shapeId="0" xr:uid="{00000000-0006-0000-0100-000036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38" authorId="1" shapeId="0" xr:uid="{00000000-0006-0000-0100-000037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38" authorId="1" shapeId="0" xr:uid="{00000000-0006-0000-0100-000038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39" authorId="1" shapeId="0" xr:uid="{00000000-0006-0000-0100-000039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39" authorId="1" shapeId="0" xr:uid="{00000000-0006-0000-0100-00003A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40" authorId="1" shapeId="0" xr:uid="{00000000-0006-0000-0100-00003B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40" authorId="1" shapeId="0" xr:uid="{00000000-0006-0000-0100-00003C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41" authorId="1" shapeId="0" xr:uid="{00000000-0006-0000-0100-00003D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41" authorId="1" shapeId="0" xr:uid="{00000000-0006-0000-0100-00003E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42" authorId="1" shapeId="0" xr:uid="{00000000-0006-0000-0100-00003F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42" authorId="1" shapeId="0" xr:uid="{00000000-0006-0000-0100-000040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43" authorId="1" shapeId="0" xr:uid="{00000000-0006-0000-0100-000041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43" authorId="1" shapeId="0" xr:uid="{00000000-0006-0000-0100-000042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44" authorId="1" shapeId="0" xr:uid="{00000000-0006-0000-0100-000043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44" authorId="1" shapeId="0" xr:uid="{00000000-0006-0000-0100-000044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45" authorId="1" shapeId="0" xr:uid="{00000000-0006-0000-0100-000045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45" authorId="1" shapeId="0" xr:uid="{00000000-0006-0000-0100-000046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46" authorId="1" shapeId="0" xr:uid="{00000000-0006-0000-0100-000047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46" authorId="1" shapeId="0" xr:uid="{00000000-0006-0000-0100-000048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47" authorId="1" shapeId="0" xr:uid="{00000000-0006-0000-0100-000049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47" authorId="1" shapeId="0" xr:uid="{00000000-0006-0000-0100-00004A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48" authorId="1" shapeId="0" xr:uid="{00000000-0006-0000-0100-00004B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48" authorId="1" shapeId="0" xr:uid="{00000000-0006-0000-0100-00004C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49" authorId="1" shapeId="0" xr:uid="{00000000-0006-0000-0100-00004D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49" authorId="1" shapeId="0" xr:uid="{00000000-0006-0000-0100-00004E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50" authorId="1" shapeId="0" xr:uid="{00000000-0006-0000-0100-00004F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50" authorId="1" shapeId="0" xr:uid="{00000000-0006-0000-0100-000050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51" authorId="1" shapeId="0" xr:uid="{00000000-0006-0000-0100-000051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51" authorId="1" shapeId="0" xr:uid="{00000000-0006-0000-0100-000052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52" authorId="1" shapeId="0" xr:uid="{00000000-0006-0000-0100-000053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52" authorId="1" shapeId="0" xr:uid="{00000000-0006-0000-0100-000054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P59" authorId="1" shapeId="0" xr:uid="{00000000-0006-0000-0100-000055000000}">
      <text>
        <r>
          <rPr>
            <b/>
            <sz val="9"/>
            <color indexed="81"/>
            <rFont val="Tahoma"/>
            <family val="2"/>
          </rPr>
          <t xml:space="preserve">PREENCHER ESTE CAMPUS SOMENTE SE O REGULADOR DE 2° ESTÁGIO ESTIVER NA ENTRADA DO MEDIDOR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2" authorId="1" shapeId="0" xr:uid="{00000000-0006-0000-0100-000056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62" authorId="1" shapeId="0" xr:uid="{00000000-0006-0000-0100-000057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63" authorId="1" shapeId="0" xr:uid="{00000000-0006-0000-0100-000058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63" authorId="1" shapeId="0" xr:uid="{00000000-0006-0000-0100-000059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64" authorId="1" shapeId="0" xr:uid="{00000000-0006-0000-0100-00005A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64" authorId="1" shapeId="0" xr:uid="{00000000-0006-0000-0100-00005B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65" authorId="1" shapeId="0" xr:uid="{00000000-0006-0000-0100-00005C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65" authorId="1" shapeId="0" xr:uid="{00000000-0006-0000-0100-00005D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66" authorId="1" shapeId="0" xr:uid="{00000000-0006-0000-0100-00005E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66" authorId="1" shapeId="0" xr:uid="{00000000-0006-0000-0100-00005F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67" authorId="1" shapeId="0" xr:uid="{00000000-0006-0000-0100-000060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67" authorId="1" shapeId="0" xr:uid="{00000000-0006-0000-0100-000061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68" authorId="1" shapeId="0" xr:uid="{00000000-0006-0000-0100-000062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68" authorId="1" shapeId="0" xr:uid="{00000000-0006-0000-0100-000063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69" authorId="1" shapeId="0" xr:uid="{00000000-0006-0000-0100-000064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69" authorId="1" shapeId="0" xr:uid="{00000000-0006-0000-0100-000065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70" authorId="1" shapeId="0" xr:uid="{00000000-0006-0000-0100-000066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70" authorId="1" shapeId="0" xr:uid="{00000000-0006-0000-0100-000067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71" authorId="1" shapeId="0" xr:uid="{00000000-0006-0000-0100-000068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71" authorId="1" shapeId="0" xr:uid="{00000000-0006-0000-0100-000069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Marcelo</author>
    <author>Felipe</author>
  </authors>
  <commentList>
    <comment ref="W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Caso exista simultaneidade entre os equipamentos, preencher "SIM". Caso não tenha simultaneidade, entre os equipamento preencher "NÃO".
*Atenção: Para redes comerciais ou redes que alimentem somente um equipamento (residenciais ou comerciais) devemos admitir a simultaneidade de 100%, portanto preencher NÃO para simultaneidade.</t>
        </r>
      </text>
    </comment>
    <comment ref="I12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12" authorId="1" shapeId="0" xr:uid="{00000000-0006-0000-0200-000003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13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13" authorId="1" shapeId="0" xr:uid="{00000000-0006-0000-0200-000005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14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14" authorId="1" shapeId="0" xr:uid="{00000000-0006-0000-0200-000007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15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15" authorId="1" shapeId="0" xr:uid="{00000000-0006-0000-0200-000009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16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16" authorId="1" shapeId="0" xr:uid="{00000000-0006-0000-0200-00000B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17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17" authorId="1" shapeId="0" xr:uid="{00000000-0006-0000-0200-00000D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18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18" authorId="1" shapeId="0" xr:uid="{00000000-0006-0000-0200-00000F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19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19" authorId="1" shapeId="0" xr:uid="{00000000-0006-0000-0200-000011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20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20" authorId="1" shapeId="0" xr:uid="{00000000-0006-0000-0200-000013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21" authorId="1" shapeId="0" xr:uid="{00000000-0006-0000-0200-000014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21" authorId="1" shapeId="0" xr:uid="{00000000-0006-0000-0200-000015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22" authorId="1" shapeId="0" xr:uid="{00000000-0006-0000-0200-000016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22" authorId="1" shapeId="0" xr:uid="{00000000-0006-0000-0200-000017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23" authorId="1" shapeId="0" xr:uid="{00000000-0006-0000-0200-000018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23" authorId="1" shapeId="0" xr:uid="{00000000-0006-0000-0200-000019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24" authorId="1" shapeId="0" xr:uid="{00000000-0006-0000-0200-00001A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24" authorId="1" shapeId="0" xr:uid="{00000000-0006-0000-0200-00001B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25" authorId="1" shapeId="0" xr:uid="{00000000-0006-0000-0200-00001C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25" authorId="1" shapeId="0" xr:uid="{00000000-0006-0000-0200-00001D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26" authorId="1" shapeId="0" xr:uid="{00000000-0006-0000-0200-00001E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26" authorId="1" shapeId="0" xr:uid="{00000000-0006-0000-0200-00001F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27" authorId="1" shapeId="0" xr:uid="{00000000-0006-0000-0200-000020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27" authorId="1" shapeId="0" xr:uid="{00000000-0006-0000-0200-000021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28" authorId="1" shapeId="0" xr:uid="{00000000-0006-0000-0200-000022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28" authorId="1" shapeId="0" xr:uid="{00000000-0006-0000-0200-000023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29" authorId="1" shapeId="0" xr:uid="{00000000-0006-0000-0200-000024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29" authorId="1" shapeId="0" xr:uid="{00000000-0006-0000-0200-000025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30" authorId="1" shapeId="0" xr:uid="{00000000-0006-0000-0200-000026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30" authorId="1" shapeId="0" xr:uid="{00000000-0006-0000-0200-000027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31" authorId="1" shapeId="0" xr:uid="{00000000-0006-0000-0200-000028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31" authorId="1" shapeId="0" xr:uid="{00000000-0006-0000-0200-000029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32" authorId="1" shapeId="0" xr:uid="{00000000-0006-0000-0200-00002A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32" authorId="1" shapeId="0" xr:uid="{00000000-0006-0000-0200-00002B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33" authorId="1" shapeId="0" xr:uid="{00000000-0006-0000-0200-00002C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33" authorId="1" shapeId="0" xr:uid="{00000000-0006-0000-0200-00002D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34" authorId="1" shapeId="0" xr:uid="{00000000-0006-0000-0200-00002E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34" authorId="1" shapeId="0" xr:uid="{00000000-0006-0000-0200-00002F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35" authorId="1" shapeId="0" xr:uid="{00000000-0006-0000-0200-000030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35" authorId="1" shapeId="0" xr:uid="{00000000-0006-0000-0200-000031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36" authorId="1" shapeId="0" xr:uid="{00000000-0006-0000-0200-000032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36" authorId="1" shapeId="0" xr:uid="{00000000-0006-0000-0200-000033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37" authorId="1" shapeId="0" xr:uid="{00000000-0006-0000-0200-000034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37" authorId="1" shapeId="0" xr:uid="{00000000-0006-0000-0200-000035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38" authorId="1" shapeId="0" xr:uid="{00000000-0006-0000-0200-000036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38" authorId="1" shapeId="0" xr:uid="{00000000-0006-0000-0200-000037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39" authorId="1" shapeId="0" xr:uid="{00000000-0006-0000-0200-000038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39" authorId="1" shapeId="0" xr:uid="{00000000-0006-0000-0200-000039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40" authorId="1" shapeId="0" xr:uid="{00000000-0006-0000-0200-00003A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40" authorId="1" shapeId="0" xr:uid="{00000000-0006-0000-0200-00003B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41" authorId="1" shapeId="0" xr:uid="{00000000-0006-0000-0200-00003C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41" authorId="1" shapeId="0" xr:uid="{00000000-0006-0000-0200-00003D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42" authorId="1" shapeId="0" xr:uid="{00000000-0006-0000-0200-00003E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42" authorId="1" shapeId="0" xr:uid="{00000000-0006-0000-0200-00003F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43" authorId="1" shapeId="0" xr:uid="{00000000-0006-0000-0200-000040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43" authorId="1" shapeId="0" xr:uid="{00000000-0006-0000-0200-000041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44" authorId="1" shapeId="0" xr:uid="{00000000-0006-0000-0200-000042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44" authorId="1" shapeId="0" xr:uid="{00000000-0006-0000-0200-000043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45" authorId="1" shapeId="0" xr:uid="{00000000-0006-0000-0200-000044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45" authorId="1" shapeId="0" xr:uid="{00000000-0006-0000-0200-000045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46" authorId="1" shapeId="0" xr:uid="{00000000-0006-0000-0200-000046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46" authorId="1" shapeId="0" xr:uid="{00000000-0006-0000-0200-000047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47" authorId="1" shapeId="0" xr:uid="{00000000-0006-0000-0200-000048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47" authorId="1" shapeId="0" xr:uid="{00000000-0006-0000-0200-000049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48" authorId="1" shapeId="0" xr:uid="{00000000-0006-0000-0200-00004A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48" authorId="1" shapeId="0" xr:uid="{00000000-0006-0000-0200-00004B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49" authorId="1" shapeId="0" xr:uid="{00000000-0006-0000-0200-00004C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49" authorId="1" shapeId="0" xr:uid="{00000000-0006-0000-0200-00004D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50" authorId="1" shapeId="0" xr:uid="{00000000-0006-0000-0200-00004E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50" authorId="1" shapeId="0" xr:uid="{00000000-0006-0000-0200-00004F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51" authorId="1" shapeId="0" xr:uid="{00000000-0006-0000-0200-000050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51" authorId="1" shapeId="0" xr:uid="{00000000-0006-0000-0200-000051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52" authorId="1" shapeId="0" xr:uid="{00000000-0006-0000-0200-000052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52" authorId="1" shapeId="0" xr:uid="{00000000-0006-0000-0200-000053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P59" authorId="1" shapeId="0" xr:uid="{00000000-0006-0000-0200-000054000000}">
      <text>
        <r>
          <rPr>
            <b/>
            <sz val="9"/>
            <color indexed="81"/>
            <rFont val="Tahoma"/>
            <family val="2"/>
          </rPr>
          <t>PREENCHER A PRESSÃO APÓS O REGULADOR DE 2 ESTÁGIO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62" authorId="1" shapeId="0" xr:uid="{00000000-0006-0000-0200-000055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63" authorId="1" shapeId="0" xr:uid="{00000000-0006-0000-0200-000056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63" authorId="1" shapeId="0" xr:uid="{00000000-0006-0000-0200-000057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64" authorId="1" shapeId="0" xr:uid="{00000000-0006-0000-0200-000058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64" authorId="1" shapeId="0" xr:uid="{00000000-0006-0000-0200-000059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65" authorId="1" shapeId="0" xr:uid="{00000000-0006-0000-0200-00005A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65" authorId="1" shapeId="0" xr:uid="{00000000-0006-0000-0200-00005B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66" authorId="1" shapeId="0" xr:uid="{00000000-0006-0000-0200-00005C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66" authorId="1" shapeId="0" xr:uid="{00000000-0006-0000-0200-00005D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67" authorId="1" shapeId="0" xr:uid="{00000000-0006-0000-0200-00005E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67" authorId="1" shapeId="0" xr:uid="{00000000-0006-0000-0200-00005F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68" authorId="1" shapeId="0" xr:uid="{00000000-0006-0000-0200-000060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68" authorId="1" shapeId="0" xr:uid="{00000000-0006-0000-0200-000061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69" authorId="1" shapeId="0" xr:uid="{00000000-0006-0000-0200-000062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69" authorId="1" shapeId="0" xr:uid="{00000000-0006-0000-0200-000063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70" authorId="1" shapeId="0" xr:uid="{00000000-0006-0000-0200-000064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70" authorId="1" shapeId="0" xr:uid="{00000000-0006-0000-0200-000065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  <comment ref="I71" authorId="1" shapeId="0" xr:uid="{00000000-0006-0000-0200-000066000000}">
      <text>
        <r>
          <rPr>
            <b/>
            <sz val="9"/>
            <color indexed="81"/>
            <rFont val="Tahoma"/>
            <family val="2"/>
          </rPr>
          <t>INDIQUE QUAL A CONEXÃO ENTRE OS PONTOS</t>
        </r>
      </text>
    </comment>
    <comment ref="N71" authorId="1" shapeId="0" xr:uid="{00000000-0006-0000-0200-000067000000}">
      <text>
        <r>
          <rPr>
            <b/>
            <sz val="11"/>
            <color indexed="81"/>
            <rFont val="Tahoma"/>
            <family val="2"/>
          </rPr>
          <t>Diâmetro Multicamadas 
Gaspex-Emmeti</t>
        </r>
        <r>
          <rPr>
            <b/>
            <sz val="9"/>
            <color indexed="81"/>
            <rFont val="Tahoma"/>
            <family val="2"/>
          </rPr>
          <t xml:space="preserve">
Ø 16</t>
        </r>
        <r>
          <rPr>
            <b/>
            <sz val="10"/>
            <color indexed="81"/>
            <rFont val="Tahoma"/>
            <family val="2"/>
          </rPr>
          <t>mm
Ø 20mm
Ø 26mm
Ø 32mm</t>
        </r>
      </text>
    </comment>
  </commentList>
</comments>
</file>

<file path=xl/sharedStrings.xml><?xml version="1.0" encoding="utf-8"?>
<sst xmlns="http://schemas.openxmlformats.org/spreadsheetml/2006/main" count="584" uniqueCount="164">
  <si>
    <t>TRECHO PARCIAL</t>
  </si>
  <si>
    <t>(%)</t>
  </si>
  <si>
    <t>VAZÃO ADOTADA</t>
  </si>
  <si>
    <t>COMPRIMENTO EQUIVALENTE</t>
  </si>
  <si>
    <t>PRESSÃO INICIAL</t>
  </si>
  <si>
    <t>PERDA DE PRESSÃO</t>
  </si>
  <si>
    <t>PRESSÃO FINAL</t>
  </si>
  <si>
    <t>VELOCIDADE</t>
  </si>
  <si>
    <t>FATOR SIMULTANEIDADE</t>
  </si>
  <si>
    <t>COMPRIMENTO TOTAL</t>
  </si>
  <si>
    <t>(Kcal/h)</t>
  </si>
  <si>
    <t>(m³/h)</t>
  </si>
  <si>
    <t>(mm)</t>
  </si>
  <si>
    <t>(m/s)</t>
  </si>
  <si>
    <t>POTÊNCIA TOTAL INSTALADA</t>
  </si>
  <si>
    <t>POTÊNCIA ADOTADA INSTALADA</t>
  </si>
  <si>
    <t>COMPRIMENTO LINEAR</t>
  </si>
  <si>
    <t>DIÂMETRO INTERNO</t>
  </si>
  <si>
    <t>DIÂMETRO EXTERNO</t>
  </si>
  <si>
    <t>CONSIDERAÇÕES</t>
  </si>
  <si>
    <t>OBSERVAÇÕES</t>
  </si>
  <si>
    <t>FATOR DE ATRITO</t>
  </si>
  <si>
    <t xml:space="preserve">FATOR   </t>
  </si>
  <si>
    <t>ZITA</t>
  </si>
  <si>
    <t xml:space="preserve">  Conexão</t>
  </si>
  <si>
    <t>FATOR</t>
  </si>
  <si>
    <t>INFORMAÇÃO SOBRE O PROGRAMA</t>
  </si>
  <si>
    <t>O programa foi verificado e testado com extremo cuidado por parte da Emmeti com a finalidade de verificar a exatidão dos resultados. Todavia, a responsabilidade final e o bom senso do método de cálculo proposto e dos resultados obtidos são de responsabilidade do usuário.</t>
  </si>
  <si>
    <t>A Emmeti não será responsável por eventuais danos de qualquer natureza relacionados à utilização do programa.</t>
  </si>
  <si>
    <t xml:space="preserve">A Emmeti reserva-se no direito de efetuar modificações a qualquer momento sem prévio aviso. </t>
  </si>
  <si>
    <t>PERDA DE CARGA MÁXIMA ADMISSÍVEL:</t>
  </si>
  <si>
    <t xml:space="preserve"> MODELO DE CONEXÃO </t>
  </si>
  <si>
    <t xml:space="preserve">GÁS NATURAL </t>
  </si>
  <si>
    <t>PROGRAMA DE DIMENSIONAMENTO PARA REDES DE GASES COMBUSTÍVEIS GASPEX-EMMETI</t>
  </si>
  <si>
    <t>CONECTOR MACHO</t>
  </si>
  <si>
    <t>CONECTOR FÊMEA</t>
  </si>
  <si>
    <t>CONECTOR FÊMEA GIRATÓRIO</t>
  </si>
  <si>
    <t>COTOVELO</t>
  </si>
  <si>
    <t>COTOVELO FÊMEA</t>
  </si>
  <si>
    <t>COTOVELO MACHO</t>
  </si>
  <si>
    <t>UNIÃO OU REDUÇÃO</t>
  </si>
  <si>
    <t>TEE - PASSAGEM DIRETA</t>
  </si>
  <si>
    <t>TEE - PASSAGEM ANGULAR</t>
  </si>
  <si>
    <t>TEE - ENTRADA CENTRAL</t>
  </si>
  <si>
    <t>Cotovelo Fêmea</t>
  </si>
  <si>
    <t>A</t>
  </si>
  <si>
    <t xml:space="preserve">A </t>
  </si>
  <si>
    <t>BY ENG° MARCELO WILLIAN DE SOUSA</t>
  </si>
  <si>
    <t>AQUECEDOR DE AMBIENTE</t>
  </si>
  <si>
    <t>FOGÃO - 4 BOCAS S/ FORNO</t>
  </si>
  <si>
    <t>FOGÃO - 4 BOCAS C/ FORNO</t>
  </si>
  <si>
    <t>FOGÃO - 5 BOCAS S/ FORNO</t>
  </si>
  <si>
    <t>FOGÃO - 6 BOCAS S/ FORNO</t>
  </si>
  <si>
    <t>FOGÃO - 6 BOCAS C/ FORNO</t>
  </si>
  <si>
    <t>FOGÃO - 5 BOCAS C/ FORNO</t>
  </si>
  <si>
    <t>LAREIRA</t>
  </si>
  <si>
    <t>REFRIGERADOR</t>
  </si>
  <si>
    <t>SAUNA</t>
  </si>
  <si>
    <t>SECADORA</t>
  </si>
  <si>
    <t>FORNO DE EMBUTIR</t>
  </si>
  <si>
    <t>AQUECEDOR DE PASSAGEM - 6L</t>
  </si>
  <si>
    <t>AQUECEDOR DE PASSAGEM - 8L</t>
  </si>
  <si>
    <t>AQUECEDOR DE PASSAGEM 10L</t>
  </si>
  <si>
    <t>AQUECEDOR DE PASSAGEM 12L</t>
  </si>
  <si>
    <t>AQUECEDOR DE PASSAGEM - 15L</t>
  </si>
  <si>
    <t>AQUECEDOR DE PASSAGEM - 18L</t>
  </si>
  <si>
    <t>AQUECEDOR DE PASSAGEM - 20L</t>
  </si>
  <si>
    <t>AQUECEDOR DE PASSAGEM - 25L</t>
  </si>
  <si>
    <t>AQUECEDOR DE PASSAGEM - 30L</t>
  </si>
  <si>
    <t>AQUECEDOR DE PASSAGEM - 32L</t>
  </si>
  <si>
    <t>AQUECEDOR DE PASSAGEM - 35L</t>
  </si>
  <si>
    <t>AQUECEDOR DE ACUMULAÇÃO - 50L</t>
  </si>
  <si>
    <t>AQUECEDOR DE ACUMULAÇÃO - 150L</t>
  </si>
  <si>
    <t>AQUECEDOR DE ACUMULAÇÃO - 200L</t>
  </si>
  <si>
    <t>AQUECEDOR DE ACUMULAÇÃO - 250L</t>
  </si>
  <si>
    <t>AQUECEDOR DE ACUMULAÇÃO - 300L</t>
  </si>
  <si>
    <t>Kcal/h</t>
  </si>
  <si>
    <t>CONSUMO DOS APARELHOS A GÁS</t>
  </si>
  <si>
    <t>________________</t>
  </si>
  <si>
    <t>AQUECEDOR DE PASSAGEM - 7,5L</t>
  </si>
  <si>
    <t>AQUECEDOR DE PASSAGEM 13L</t>
  </si>
  <si>
    <t>AQUECEDOR DE PASSAGEM - 16L</t>
  </si>
  <si>
    <t>AQUECEDOR DE PASSAGEM - 23L</t>
  </si>
  <si>
    <t>AQUECEDOR DE PASSAGEM - 42L</t>
  </si>
  <si>
    <t>AQUECEDOR DE PASSAGEM - 44L</t>
  </si>
  <si>
    <t>AQUECEDOR DE PASSAGEM - 47,5L</t>
  </si>
  <si>
    <t>AQUECEDOR DE PASSAGEM - 38L</t>
  </si>
  <si>
    <t>AQUECEDOR DE ACUMULAÇÃO - 75L</t>
  </si>
  <si>
    <t>AQUECEDOR DE ACUMULAÇÃO - 110L</t>
  </si>
  <si>
    <t>PARA OBTER UM DIMENSIONAMENTO PRECISO, SOLICITAMOS QUE CONSULTE O CONSUMO DO APARELHO A GÁS, POIS PODEM OCORRER VARIAÇÕES DE POTÊNCIA DEPENDENDO DO FABRICANTE E MODELO.</t>
  </si>
  <si>
    <t>DEVELOPED BY ENG° MARCELO WILLIAN DE SOUSA</t>
  </si>
  <si>
    <t xml:space="preserve">TRECHO ASCENDENTE (-)OU DESCENDENTE (+) </t>
  </si>
  <si>
    <t xml:space="preserve">TRECHO ASCENDENTE (+)OU DESCENDENTE (-) </t>
  </si>
  <si>
    <t>(kPa)</t>
  </si>
  <si>
    <t>(kPa / m)</t>
  </si>
  <si>
    <t xml:space="preserve"> (m)</t>
  </si>
  <si>
    <t>kPa</t>
  </si>
  <si>
    <t>O programa foi verificado e testado com extremo cuidado por parte da Emmeti, com a finalidade de verificar a exatidão dos resultados. Todavia, a responsabilidade final e o bom senso do método de cálculo proposto e dos resultados obtidos são de responsabilidade do usuário.</t>
  </si>
  <si>
    <t>O usuário aceita que em um programa podem acontecer problemas e reconhece que foi prévio e especificamente avisado.</t>
  </si>
  <si>
    <t>Parâmetros para Dimensionamento: GN (GÁS NATURAL)</t>
  </si>
  <si>
    <t>Parâmetros para Dimensionamento: GLP (GÁS LIQUEFEITO DE PETRÓLEO)</t>
  </si>
  <si>
    <t xml:space="preserve">TRECHO ASCENDENTE (-) DESCENDENTE (+) </t>
  </si>
  <si>
    <t xml:space="preserve">TRECHO ASCENDENTE (+) DESCENDENTE (-) </t>
  </si>
  <si>
    <t>TRECHO INICIAL</t>
  </si>
  <si>
    <t>TRECHO FINAL</t>
  </si>
  <si>
    <t>B</t>
  </si>
  <si>
    <t>T</t>
  </si>
  <si>
    <t>C</t>
  </si>
  <si>
    <t>D</t>
  </si>
  <si>
    <t>PRESSÃO NO PONTO DE CONSUMO</t>
  </si>
  <si>
    <t>PRESSÃO</t>
  </si>
  <si>
    <t>F</t>
  </si>
  <si>
    <t>E</t>
  </si>
  <si>
    <t>G</t>
  </si>
  <si>
    <t>H</t>
  </si>
  <si>
    <t>I</t>
  </si>
  <si>
    <t>J</t>
  </si>
  <si>
    <t>R</t>
  </si>
  <si>
    <t>U</t>
  </si>
  <si>
    <r>
      <rPr>
        <b/>
        <i/>
        <sz val="11"/>
        <color theme="1"/>
        <rFont val="Calibri"/>
        <family val="2"/>
        <scheme val="minor"/>
      </rPr>
      <t xml:space="preserve">   PRESSÃO MÍNIMA NO PONTO DE CONSUMO</t>
    </r>
    <r>
      <rPr>
        <b/>
        <i/>
        <u/>
        <sz val="11"/>
        <color theme="1"/>
        <rFont val="Calibri"/>
        <family val="2"/>
        <scheme val="minor"/>
      </rPr>
      <t xml:space="preserve"> (kPa)</t>
    </r>
  </si>
  <si>
    <t>SIM</t>
  </si>
  <si>
    <t>NÃO</t>
  </si>
  <si>
    <t>K</t>
  </si>
  <si>
    <t>L</t>
  </si>
  <si>
    <t>M</t>
  </si>
  <si>
    <t>N</t>
  </si>
  <si>
    <t>O</t>
  </si>
  <si>
    <t>P</t>
  </si>
  <si>
    <t>Q</t>
  </si>
  <si>
    <t>W</t>
  </si>
  <si>
    <t>S</t>
  </si>
  <si>
    <t>V</t>
  </si>
  <si>
    <t>X</t>
  </si>
  <si>
    <t>Y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</si>
  <si>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</si>
  <si>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</si>
  <si>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</si>
  <si>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</si>
  <si>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</si>
  <si>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</si>
  <si>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</si>
  <si>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</si>
  <si>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</si>
  <si>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</si>
  <si>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JJ</t>
  </si>
  <si>
    <t>KK</t>
  </si>
  <si>
    <t>LL</t>
  </si>
  <si>
    <t>MM</t>
  </si>
  <si>
    <t>NN</t>
  </si>
  <si>
    <t>OO</t>
  </si>
  <si>
    <r>
      <rPr>
        <b/>
        <i/>
        <sz val="11"/>
        <color theme="1"/>
        <rFont val="Calibri"/>
        <family val="2"/>
        <scheme val="minor"/>
      </rPr>
      <t xml:space="preserve">   </t>
    </r>
    <r>
      <rPr>
        <b/>
        <i/>
        <u/>
        <sz val="11"/>
        <color theme="1"/>
        <rFont val="Calibri"/>
        <family val="2"/>
        <scheme val="minor"/>
      </rPr>
      <t>PRESSÃO MÍNIMA NA ENTRADA DO REGULADOR (kPa)</t>
    </r>
  </si>
  <si>
    <t>Pressão após o regulador de estágio</t>
  </si>
  <si>
    <t>DIMENSIONAMENTO ENTRE EQUIPAMENTOS  - ENTRE REGULADOR DE ESTÁGIO E/OU ESTABILIZADOR</t>
  </si>
  <si>
    <t>FOGÃO - 2 BOCAS S/ FORNO - PORTÁTIL</t>
  </si>
  <si>
    <t>FOGÃO - 2 BOCAS S/ FORNO - BANCADA</t>
  </si>
  <si>
    <t>DIMENSIONAMENTO DA REDE ENTRE O EQUIPAMENTO AO APARELHO DE CONSUMO</t>
  </si>
  <si>
    <r>
      <rPr>
        <b/>
        <i/>
        <sz val="11"/>
        <color theme="1"/>
        <rFont val="Calibri"/>
        <family val="2"/>
        <scheme val="minor"/>
      </rPr>
      <t xml:space="preserve">   </t>
    </r>
    <r>
      <rPr>
        <b/>
        <i/>
        <u/>
        <sz val="11"/>
        <color theme="1"/>
        <rFont val="Calibri"/>
        <family val="2"/>
        <scheme val="minor"/>
      </rPr>
      <t xml:space="preserve">  PRESSÃO MÍNIMA NO PONTO DE CONSUMO (kPa)</t>
    </r>
  </si>
  <si>
    <r>
      <rPr>
        <b/>
        <i/>
        <sz val="11"/>
        <color theme="1"/>
        <rFont val="Calibri"/>
        <family val="2"/>
        <scheme val="minor"/>
      </rPr>
      <t xml:space="preserve">   </t>
    </r>
    <r>
      <rPr>
        <b/>
        <i/>
        <u/>
        <sz val="11"/>
        <color theme="1"/>
        <rFont val="Calibri"/>
        <family val="2"/>
        <scheme val="minor"/>
      </rPr>
      <t xml:space="preserve">   PRESSÃO MÍNIMA NA ENTRADA DO REGULADOR (kPa)</t>
    </r>
  </si>
  <si>
    <t xml:space="preserve">   PRESSÃO MÍNIMA NA ENTRADA DO REGULADOR (kPa)</t>
  </si>
  <si>
    <t>PRESSÃO MÍNIMA NO PONTO DE CONSUMO (kPa)</t>
  </si>
  <si>
    <t>FATOR DE SIMULTANEIDADE ?</t>
  </si>
  <si>
    <t>DIMENSIONAMENTO PARA REDES INTERNAS DE GASES COMBUSTÍVEIS  - GASPEX EMMETI</t>
  </si>
  <si>
    <t>SÃO PAULO, 07 DE JANEIRO DE 2015</t>
  </si>
  <si>
    <t>Pressão Após o Regulador de Estágio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</si>
</sst>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0000"/>
    <numFmt numFmtId="166" formatCode="0.00000000"/>
    <numFmt numFmtId="167" formatCode="[$-F800]dddd\,\ mmmm\ dd\,\ yyyy"/>
  </numFmts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Arial Black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sz val="22"/>
      <color theme="1"/>
      <name val="Calibri"/>
      <family val="2"/>
      <scheme val="minor"/>
    </font>
    <font>
      <b/>
      <sz val="11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indexed="12"/>
      <name val="MS Sans Serif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i/>
      <sz val="14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sz val="16"/>
      <color rgb="FFFFFFFF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sz val="16"/>
      <color theme="1"/>
      <name val="Bookman Old Style"/>
      <family val="1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rgb="FF7030A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medium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1">
    <xf numFmtId="0" fontId="0" fillId="0" borderId="0" xfId="0"/>
    <xf numFmtId="0" fontId="3" fillId="0" borderId="0" xfId="0" applyFont="1" applyAlignment="1">
      <alignment textRotation="90" wrapText="1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Protection="1">
      <protection locked="0"/>
    </xf>
    <xf numFmtId="0" fontId="0" fillId="0" borderId="0" xfId="0" applyProtection="1"/>
    <xf numFmtId="0" fontId="5" fillId="0" borderId="0" xfId="0" applyFont="1" applyFill="1" applyBorder="1" applyProtection="1"/>
    <xf numFmtId="0" fontId="0" fillId="0" borderId="0" xfId="0" applyBorder="1" applyProtection="1"/>
    <xf numFmtId="0" fontId="15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/>
    <xf numFmtId="0" fontId="7" fillId="0" borderId="0" xfId="0" applyFont="1" applyFill="1" applyBorder="1" applyAlignment="1" applyProtection="1">
      <alignment horizontal="right" vertical="center"/>
    </xf>
    <xf numFmtId="0" fontId="7" fillId="0" borderId="12" xfId="0" applyFont="1" applyFill="1" applyBorder="1" applyAlignment="1" applyProtection="1">
      <alignment horizontal="center"/>
      <protection locked="0"/>
    </xf>
    <xf numFmtId="2" fontId="6" fillId="0" borderId="16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hidden="1"/>
    </xf>
    <xf numFmtId="2" fontId="1" fillId="0" borderId="1" xfId="0" applyNumberFormat="1" applyFont="1" applyBorder="1" applyAlignment="1" applyProtection="1">
      <alignment horizontal="center"/>
      <protection hidden="1"/>
    </xf>
    <xf numFmtId="2" fontId="8" fillId="0" borderId="1" xfId="0" applyNumberFormat="1" applyFont="1" applyBorder="1" applyAlignment="1" applyProtection="1">
      <alignment horizontal="center"/>
      <protection hidden="1"/>
    </xf>
    <xf numFmtId="2" fontId="8" fillId="0" borderId="13" xfId="0" applyNumberFormat="1" applyFont="1" applyBorder="1" applyAlignment="1" applyProtection="1">
      <alignment horizontal="center"/>
      <protection hidden="1"/>
    </xf>
    <xf numFmtId="2" fontId="1" fillId="0" borderId="16" xfId="0" applyNumberFormat="1" applyFont="1" applyBorder="1" applyAlignment="1" applyProtection="1">
      <alignment horizontal="center"/>
      <protection hidden="1"/>
    </xf>
    <xf numFmtId="2" fontId="8" fillId="0" borderId="15" xfId="0" applyNumberFormat="1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center"/>
      <protection hidden="1"/>
    </xf>
    <xf numFmtId="166" fontId="14" fillId="0" borderId="1" xfId="0" applyNumberFormat="1" applyFont="1" applyBorder="1" applyAlignment="1" applyProtection="1">
      <alignment horizontal="center"/>
      <protection hidden="1"/>
    </xf>
    <xf numFmtId="1" fontId="1" fillId="0" borderId="1" xfId="0" applyNumberFormat="1" applyFont="1" applyBorder="1" applyAlignment="1" applyProtection="1">
      <alignment horizontal="center"/>
      <protection hidden="1"/>
    </xf>
    <xf numFmtId="1" fontId="1" fillId="0" borderId="16" xfId="0" applyNumberFormat="1" applyFont="1" applyBorder="1" applyAlignment="1" applyProtection="1">
      <alignment horizontal="center"/>
      <protection hidden="1"/>
    </xf>
    <xf numFmtId="0" fontId="9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/>
    <xf numFmtId="0" fontId="8" fillId="0" borderId="0" xfId="0" applyFont="1" applyFill="1" applyBorder="1" applyAlignment="1"/>
    <xf numFmtId="0" fontId="21" fillId="0" borderId="3" xfId="0" applyFont="1" applyFill="1" applyBorder="1" applyAlignment="1" applyProtection="1">
      <alignment horizontal="left" vertical="center"/>
      <protection hidden="1"/>
    </xf>
    <xf numFmtId="0" fontId="21" fillId="0" borderId="4" xfId="0" applyFont="1" applyFill="1" applyBorder="1" applyAlignment="1" applyProtection="1">
      <alignment horizontal="left" vertical="center"/>
      <protection hidden="1"/>
    </xf>
    <xf numFmtId="0" fontId="21" fillId="0" borderId="5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2" fontId="13" fillId="0" borderId="6" xfId="0" applyNumberFormat="1" applyFont="1" applyFill="1" applyBorder="1" applyAlignment="1" applyProtection="1">
      <protection hidden="1"/>
    </xf>
    <xf numFmtId="0" fontId="0" fillId="0" borderId="7" xfId="0" applyBorder="1" applyProtection="1">
      <protection hidden="1"/>
    </xf>
    <xf numFmtId="0" fontId="13" fillId="0" borderId="7" xfId="0" applyFont="1" applyFill="1" applyBorder="1" applyAlignment="1" applyProtection="1">
      <protection hidden="1"/>
    </xf>
    <xf numFmtId="0" fontId="0" fillId="0" borderId="8" xfId="0" applyBorder="1" applyProtection="1">
      <protection hidden="1"/>
    </xf>
    <xf numFmtId="0" fontId="3" fillId="0" borderId="0" xfId="0" applyFont="1" applyBorder="1" applyAlignment="1">
      <alignment textRotation="90" wrapText="1"/>
    </xf>
    <xf numFmtId="0" fontId="7" fillId="0" borderId="0" xfId="0" applyFont="1" applyFill="1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7" fillId="0" borderId="0" xfId="0" applyFont="1" applyFill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/>
      <protection hidden="1"/>
    </xf>
    <xf numFmtId="1" fontId="1" fillId="0" borderId="0" xfId="0" applyNumberFormat="1" applyFont="1" applyBorder="1" applyAlignment="1" applyProtection="1">
      <alignment horizontal="center"/>
      <protection hidden="1"/>
    </xf>
    <xf numFmtId="2" fontId="0" fillId="0" borderId="0" xfId="0" applyNumberForma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 hidden="1"/>
    </xf>
    <xf numFmtId="166" fontId="14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hidden="1"/>
    </xf>
    <xf numFmtId="2" fontId="6" fillId="0" borderId="0" xfId="0" applyNumberFormat="1" applyFont="1" applyBorder="1" applyAlignment="1" applyProtection="1">
      <alignment horizontal="center"/>
      <protection locked="0"/>
    </xf>
    <xf numFmtId="2" fontId="8" fillId="0" borderId="0" xfId="0" applyNumberFormat="1" applyFont="1" applyBorder="1" applyAlignment="1" applyProtection="1">
      <alignment horizontal="center"/>
      <protection hidden="1"/>
    </xf>
    <xf numFmtId="2" fontId="13" fillId="0" borderId="0" xfId="0" applyNumberFormat="1" applyFont="1" applyFill="1" applyBorder="1" applyAlignment="1" applyProtection="1">
      <protection hidden="1"/>
    </xf>
    <xf numFmtId="0" fontId="0" fillId="0" borderId="0" xfId="0" applyBorder="1" applyProtection="1">
      <protection hidden="1"/>
    </xf>
    <xf numFmtId="0" fontId="13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164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2" fontId="1" fillId="0" borderId="2" xfId="0" applyNumberFormat="1" applyFont="1" applyBorder="1" applyAlignment="1" applyProtection="1">
      <alignment horizontal="center"/>
      <protection hidden="1"/>
    </xf>
    <xf numFmtId="1" fontId="1" fillId="0" borderId="2" xfId="0" applyNumberFormat="1" applyFont="1" applyBorder="1" applyAlignment="1" applyProtection="1">
      <alignment horizontal="center"/>
      <protection hidden="1"/>
    </xf>
    <xf numFmtId="166" fontId="14" fillId="0" borderId="2" xfId="0" applyNumberFormat="1" applyFont="1" applyBorder="1" applyAlignment="1" applyProtection="1">
      <alignment horizontal="center"/>
      <protection hidden="1"/>
    </xf>
    <xf numFmtId="2" fontId="6" fillId="0" borderId="2" xfId="0" applyNumberFormat="1" applyFont="1" applyBorder="1" applyAlignment="1" applyProtection="1">
      <alignment horizontal="center"/>
      <protection locked="0"/>
    </xf>
    <xf numFmtId="2" fontId="8" fillId="0" borderId="17" xfId="0" applyNumberFormat="1" applyFont="1" applyBorder="1" applyAlignment="1" applyProtection="1">
      <alignment horizontal="center"/>
      <protection hidden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3" fontId="0" fillId="0" borderId="16" xfId="0" applyNumberFormat="1" applyBorder="1" applyAlignment="1" applyProtection="1">
      <alignment horizontal="center"/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66" fontId="14" fillId="0" borderId="16" xfId="0" applyNumberFormat="1" applyFont="1" applyBorder="1" applyAlignment="1" applyProtection="1">
      <alignment horizontal="center"/>
      <protection hidden="1"/>
    </xf>
    <xf numFmtId="2" fontId="6" fillId="0" borderId="24" xfId="0" applyNumberFormat="1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2" fontId="0" fillId="0" borderId="26" xfId="0" applyNumberForma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hidden="1"/>
    </xf>
    <xf numFmtId="2" fontId="1" fillId="0" borderId="23" xfId="0" applyNumberFormat="1" applyFont="1" applyBorder="1" applyAlignment="1" applyProtection="1">
      <alignment horizontal="center"/>
      <protection hidden="1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0" fillId="0" borderId="0" xfId="0" applyFill="1"/>
    <xf numFmtId="0" fontId="28" fillId="0" borderId="0" xfId="0" applyFont="1" applyAlignment="1">
      <alignment horizontal="center"/>
    </xf>
    <xf numFmtId="0" fontId="30" fillId="0" borderId="0" xfId="0" applyFont="1" applyFill="1" applyBorder="1" applyAlignment="1">
      <alignment vertical="center"/>
    </xf>
    <xf numFmtId="0" fontId="0" fillId="0" borderId="0" xfId="0"/>
    <xf numFmtId="0" fontId="0" fillId="0" borderId="0" xfId="0" applyAlignment="1"/>
    <xf numFmtId="0" fontId="0" fillId="0" borderId="0" xfId="0"/>
    <xf numFmtId="0" fontId="23" fillId="0" borderId="3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23" fillId="0" borderId="4" xfId="0" applyFont="1" applyBorder="1" applyAlignment="1">
      <alignment vertical="center"/>
    </xf>
    <xf numFmtId="0" fontId="7" fillId="0" borderId="1" xfId="0" applyFont="1" applyBorder="1" applyAlignment="1" applyProtection="1">
      <alignment horizontal="center" vertical="top"/>
      <protection locked="0" hidden="1"/>
    </xf>
    <xf numFmtId="0" fontId="16" fillId="0" borderId="19" xfId="0" applyFont="1" applyFill="1" applyBorder="1" applyAlignment="1" applyProtection="1">
      <alignment horizontal="center" vertical="center" wrapText="1"/>
      <protection hidden="1"/>
    </xf>
    <xf numFmtId="0" fontId="24" fillId="0" borderId="18" xfId="0" applyFont="1" applyFill="1" applyBorder="1" applyAlignment="1" applyProtection="1">
      <alignment vertic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6" fillId="0" borderId="1" xfId="0" applyFont="1" applyBorder="1" applyAlignment="1" applyProtection="1">
      <alignment horizontal="center" vertical="top"/>
      <protection locked="0" hidden="1"/>
    </xf>
    <xf numFmtId="2" fontId="1" fillId="0" borderId="29" xfId="0" applyNumberFormat="1" applyFont="1" applyBorder="1" applyAlignment="1" applyProtection="1">
      <alignment horizontal="center"/>
      <protection hidden="1"/>
    </xf>
    <xf numFmtId="2" fontId="1" fillId="0" borderId="30" xfId="0" applyNumberFormat="1" applyFont="1" applyBorder="1" applyAlignment="1" applyProtection="1">
      <alignment horizontal="center"/>
      <protection hidden="1"/>
    </xf>
    <xf numFmtId="0" fontId="1" fillId="0" borderId="31" xfId="0" applyFont="1" applyBorder="1" applyAlignment="1" applyProtection="1">
      <alignment horizontal="center"/>
      <protection hidden="1"/>
    </xf>
    <xf numFmtId="0" fontId="1" fillId="0" borderId="32" xfId="0" applyFont="1" applyBorder="1" applyAlignment="1" applyProtection="1">
      <alignment horizontal="center"/>
      <protection hidden="1"/>
    </xf>
    <xf numFmtId="0" fontId="23" fillId="0" borderId="11" xfId="0" applyFont="1" applyFill="1" applyBorder="1" applyAlignment="1" applyProtection="1">
      <protection hidden="1"/>
    </xf>
    <xf numFmtId="0" fontId="0" fillId="0" borderId="0" xfId="0"/>
    <xf numFmtId="0" fontId="4" fillId="0" borderId="33" xfId="0" applyFont="1" applyBorder="1" applyAlignment="1" applyProtection="1">
      <alignment horizontal="center"/>
      <protection hidden="1"/>
    </xf>
    <xf numFmtId="3" fontId="4" fillId="0" borderId="1" xfId="0" applyNumberFormat="1" applyFont="1" applyBorder="1" applyAlignment="1" applyProtection="1">
      <alignment horizontal="center"/>
      <protection hidden="1"/>
    </xf>
    <xf numFmtId="2" fontId="4" fillId="0" borderId="1" xfId="0" applyNumberFormat="1" applyFont="1" applyBorder="1" applyAlignment="1" applyProtection="1">
      <alignment horizontal="center"/>
      <protection hidden="1"/>
    </xf>
    <xf numFmtId="1" fontId="4" fillId="0" borderId="1" xfId="0" applyNumberFormat="1" applyFont="1" applyBorder="1" applyAlignment="1" applyProtection="1">
      <alignment horizontal="center"/>
      <protection hidden="1"/>
    </xf>
    <xf numFmtId="2" fontId="4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/>
    <xf numFmtId="0" fontId="0" fillId="0" borderId="0" xfId="0" applyFill="1" applyBorder="1" applyAlignment="1"/>
    <xf numFmtId="0" fontId="0" fillId="0" borderId="0" xfId="0" applyAlignment="1" applyProtection="1">
      <protection locked="0"/>
    </xf>
    <xf numFmtId="0" fontId="15" fillId="0" borderId="18" xfId="0" applyFont="1" applyBorder="1" applyAlignment="1" applyProtection="1">
      <alignment vertical="center"/>
      <protection hidden="1"/>
    </xf>
    <xf numFmtId="0" fontId="15" fillId="0" borderId="18" xfId="0" applyFont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32" fillId="0" borderId="9" xfId="0" applyFont="1" applyBorder="1" applyAlignment="1" applyProtection="1">
      <protection hidden="1"/>
    </xf>
    <xf numFmtId="0" fontId="0" fillId="0" borderId="19" xfId="0" applyBorder="1" applyProtection="1">
      <protection hidden="1"/>
    </xf>
    <xf numFmtId="0" fontId="33" fillId="0" borderId="0" xfId="0" applyFont="1" applyProtection="1">
      <protection hidden="1"/>
    </xf>
    <xf numFmtId="0" fontId="33" fillId="0" borderId="0" xfId="0" applyFont="1" applyAlignment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19" xfId="0" applyBorder="1" applyProtection="1">
      <protection hidden="1"/>
    </xf>
    <xf numFmtId="0" fontId="2" fillId="2" borderId="34" xfId="0" applyFont="1" applyFill="1" applyBorder="1" applyAlignment="1" applyProtection="1">
      <alignment horizontal="center" vertical="center" textRotation="90" wrapText="1"/>
      <protection hidden="1"/>
    </xf>
    <xf numFmtId="0" fontId="2" fillId="2" borderId="35" xfId="0" applyFont="1" applyFill="1" applyBorder="1" applyAlignment="1" applyProtection="1">
      <alignment horizontal="center" vertical="center" textRotation="90" wrapText="1"/>
      <protection hidden="1"/>
    </xf>
    <xf numFmtId="0" fontId="4" fillId="0" borderId="20" xfId="0" applyFont="1" applyBorder="1" applyAlignment="1" applyProtection="1">
      <alignment horizontal="center"/>
      <protection hidden="1"/>
    </xf>
    <xf numFmtId="165" fontId="4" fillId="0" borderId="20" xfId="0" applyNumberFormat="1" applyFont="1" applyBorder="1" applyAlignment="1" applyProtection="1">
      <alignment horizontal="center" wrapText="1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166" fontId="14" fillId="4" borderId="1" xfId="0" applyNumberFormat="1" applyFont="1" applyFill="1" applyBorder="1" applyAlignment="1" applyProtection="1">
      <alignment horizontal="center"/>
      <protection hidden="1"/>
    </xf>
    <xf numFmtId="2" fontId="1" fillId="0" borderId="1" xfId="0" applyNumberFormat="1" applyFont="1" applyFill="1" applyBorder="1" applyAlignment="1" applyProtection="1">
      <alignment horizontal="center"/>
      <protection hidden="1"/>
    </xf>
    <xf numFmtId="2" fontId="26" fillId="0" borderId="1" xfId="0" applyNumberFormat="1" applyFont="1" applyBorder="1" applyAlignment="1" applyProtection="1">
      <alignment horizontal="center"/>
      <protection hidden="1"/>
    </xf>
    <xf numFmtId="0" fontId="2" fillId="2" borderId="22" xfId="0" applyFont="1" applyFill="1" applyBorder="1" applyAlignment="1" applyProtection="1">
      <alignment horizontal="center" vertical="center" textRotation="90" wrapText="1"/>
      <protection hidden="1"/>
    </xf>
    <xf numFmtId="0" fontId="2" fillId="2" borderId="36" xfId="0" applyFont="1" applyFill="1" applyBorder="1" applyAlignment="1" applyProtection="1">
      <alignment horizontal="center" vertical="center" textRotation="90" wrapText="1"/>
      <protection hidden="1"/>
    </xf>
    <xf numFmtId="0" fontId="4" fillId="0" borderId="37" xfId="0" applyFont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3" fontId="4" fillId="0" borderId="2" xfId="0" applyNumberFormat="1" applyFont="1" applyBorder="1" applyAlignment="1" applyProtection="1">
      <alignment horizontal="center"/>
      <protection hidden="1"/>
    </xf>
    <xf numFmtId="2" fontId="4" fillId="0" borderId="2" xfId="0" applyNumberFormat="1" applyFont="1" applyBorder="1" applyAlignment="1" applyProtection="1">
      <alignment horizontal="center"/>
      <protection hidden="1"/>
    </xf>
    <xf numFmtId="1" fontId="4" fillId="0" borderId="2" xfId="0" applyNumberFormat="1" applyFont="1" applyBorder="1" applyAlignment="1" applyProtection="1">
      <alignment horizontal="center"/>
      <protection hidden="1"/>
    </xf>
    <xf numFmtId="0" fontId="26" fillId="0" borderId="2" xfId="0" applyFont="1" applyBorder="1" applyAlignment="1" applyProtection="1">
      <alignment horizontal="center" vertical="top"/>
      <protection locked="0" hidden="1"/>
    </xf>
    <xf numFmtId="0" fontId="1" fillId="0" borderId="39" xfId="0" applyFont="1" applyBorder="1" applyAlignment="1" applyProtection="1">
      <alignment horizontal="center"/>
      <protection hidden="1"/>
    </xf>
    <xf numFmtId="2" fontId="6" fillId="0" borderId="31" xfId="0" applyNumberFormat="1" applyFont="1" applyBorder="1" applyAlignment="1" applyProtection="1">
      <alignment horizontal="center"/>
      <protection locked="0"/>
    </xf>
    <xf numFmtId="1" fontId="0" fillId="0" borderId="40" xfId="0" applyNumberFormat="1" applyBorder="1" applyAlignment="1" applyProtection="1">
      <alignment horizontal="center"/>
      <protection locked="0"/>
    </xf>
    <xf numFmtId="2" fontId="0" fillId="0" borderId="41" xfId="0" applyNumberFormat="1" applyBorder="1" applyAlignment="1" applyProtection="1">
      <alignment horizontal="center"/>
      <protection locked="0"/>
    </xf>
    <xf numFmtId="0" fontId="26" fillId="0" borderId="16" xfId="0" applyFont="1" applyBorder="1" applyAlignment="1" applyProtection="1">
      <alignment horizontal="center" vertical="top"/>
      <protection locked="0" hidden="1"/>
    </xf>
    <xf numFmtId="0" fontId="0" fillId="0" borderId="16" xfId="0" applyBorder="1" applyAlignment="1" applyProtection="1">
      <alignment horizontal="center"/>
      <protection locked="0"/>
    </xf>
    <xf numFmtId="2" fontId="8" fillId="0" borderId="16" xfId="0" applyNumberFormat="1" applyFont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 vertical="center" textRotation="90" wrapText="1"/>
      <protection hidden="1"/>
    </xf>
    <xf numFmtId="0" fontId="24" fillId="0" borderId="0" xfId="0" applyFont="1" applyFill="1" applyBorder="1" applyAlignment="1" applyProtection="1">
      <alignment vertical="center"/>
      <protection hidden="1"/>
    </xf>
    <xf numFmtId="0" fontId="7" fillId="0" borderId="24" xfId="0" applyFont="1" applyFill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vertical="center" wrapText="1"/>
      <protection hidden="1"/>
    </xf>
    <xf numFmtId="0" fontId="0" fillId="0" borderId="0" xfId="0" applyBorder="1" applyAlignment="1">
      <alignment horizontal="center"/>
    </xf>
    <xf numFmtId="0" fontId="8" fillId="0" borderId="45" xfId="0" applyFont="1" applyBorder="1" applyAlignment="1" applyProtection="1">
      <alignment horizontal="center" vertical="center"/>
      <protection hidden="1"/>
    </xf>
    <xf numFmtId="2" fontId="8" fillId="0" borderId="23" xfId="0" applyNumberFormat="1" applyFont="1" applyBorder="1" applyAlignment="1" applyProtection="1">
      <alignment horizontal="center"/>
      <protection hidden="1"/>
    </xf>
    <xf numFmtId="2" fontId="8" fillId="0" borderId="30" xfId="0" applyNumberFormat="1" applyFont="1" applyBorder="1" applyAlignment="1" applyProtection="1">
      <alignment horizontal="center"/>
      <protection hidden="1"/>
    </xf>
    <xf numFmtId="0" fontId="33" fillId="0" borderId="0" xfId="0" applyFont="1" applyFill="1" applyBorder="1" applyAlignment="1"/>
    <xf numFmtId="0" fontId="0" fillId="0" borderId="0" xfId="0" applyBorder="1" applyProtection="1">
      <protection hidden="1"/>
    </xf>
    <xf numFmtId="1" fontId="1" fillId="0" borderId="23" xfId="0" applyNumberFormat="1" applyFont="1" applyBorder="1" applyAlignment="1" applyProtection="1">
      <alignment horizontal="center"/>
      <protection hidden="1"/>
    </xf>
    <xf numFmtId="2" fontId="0" fillId="0" borderId="24" xfId="0" applyNumberFormat="1" applyBorder="1" applyAlignment="1" applyProtection="1">
      <alignment horizontal="center"/>
      <protection locked="0"/>
    </xf>
    <xf numFmtId="2" fontId="1" fillId="0" borderId="46" xfId="0" applyNumberFormat="1" applyFont="1" applyBorder="1" applyAlignment="1" applyProtection="1">
      <alignment horizontal="center"/>
      <protection hidden="1"/>
    </xf>
    <xf numFmtId="0" fontId="2" fillId="2" borderId="44" xfId="0" applyFont="1" applyFill="1" applyBorder="1" applyAlignment="1" applyProtection="1">
      <alignment horizontal="center" vertical="center" textRotation="90" wrapText="1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2" fontId="1" fillId="0" borderId="49" xfId="0" applyNumberFormat="1" applyFont="1" applyBorder="1" applyAlignment="1" applyProtection="1">
      <alignment horizontal="center"/>
      <protection hidden="1"/>
    </xf>
    <xf numFmtId="0" fontId="0" fillId="0" borderId="19" xfId="0" applyBorder="1" applyProtection="1">
      <protection hidden="1"/>
    </xf>
    <xf numFmtId="2" fontId="1" fillId="0" borderId="28" xfId="0" applyNumberFormat="1" applyFont="1" applyBorder="1" applyAlignment="1" applyProtection="1">
      <alignment horizontal="center"/>
      <protection hidden="1"/>
    </xf>
    <xf numFmtId="0" fontId="2" fillId="2" borderId="50" xfId="0" applyFont="1" applyFill="1" applyBorder="1" applyAlignment="1" applyProtection="1">
      <alignment horizontal="center" vertical="center" textRotation="90" wrapText="1"/>
      <protection hidden="1"/>
    </xf>
    <xf numFmtId="2" fontId="25" fillId="0" borderId="54" xfId="0" applyNumberFormat="1" applyFont="1" applyFill="1" applyBorder="1" applyAlignment="1" applyProtection="1">
      <alignment horizontal="center"/>
      <protection locked="0"/>
    </xf>
    <xf numFmtId="0" fontId="16" fillId="0" borderId="57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protection hidden="1"/>
    </xf>
    <xf numFmtId="0" fontId="31" fillId="5" borderId="44" xfId="0" applyFont="1" applyFill="1" applyBorder="1" applyAlignment="1" applyProtection="1">
      <alignment horizontal="center"/>
      <protection locked="0"/>
    </xf>
    <xf numFmtId="0" fontId="0" fillId="0" borderId="52" xfId="0" applyBorder="1" applyProtection="1">
      <protection hidden="1"/>
    </xf>
    <xf numFmtId="2" fontId="0" fillId="5" borderId="51" xfId="0" applyNumberFormat="1" applyFill="1" applyBorder="1" applyAlignment="1" applyProtection="1">
      <alignment horizontal="center"/>
      <protection hidden="1"/>
    </xf>
    <xf numFmtId="2" fontId="0" fillId="5" borderId="53" xfId="0" applyNumberFormat="1" applyFill="1" applyBorder="1" applyAlignment="1" applyProtection="1">
      <alignment horizontal="center"/>
      <protection hidden="1"/>
    </xf>
    <xf numFmtId="0" fontId="33" fillId="0" borderId="0" xfId="0" applyFont="1" applyBorder="1" applyProtection="1">
      <protection hidden="1"/>
    </xf>
    <xf numFmtId="2" fontId="0" fillId="5" borderId="13" xfId="0" applyNumberFormat="1" applyFill="1" applyBorder="1" applyAlignment="1" applyProtection="1">
      <alignment horizontal="center"/>
      <protection hidden="1"/>
    </xf>
    <xf numFmtId="2" fontId="0" fillId="5" borderId="15" xfId="0" applyNumberFormat="1" applyFill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7" fillId="0" borderId="32" xfId="0" applyFont="1" applyFill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43" xfId="0" applyFont="1" applyBorder="1" applyAlignment="1" applyProtection="1">
      <alignment horizontal="center"/>
      <protection locked="0"/>
    </xf>
    <xf numFmtId="0" fontId="4" fillId="0" borderId="58" xfId="0" applyFont="1" applyBorder="1" applyAlignment="1" applyProtection="1">
      <alignment horizontal="center"/>
      <protection hidden="1"/>
    </xf>
    <xf numFmtId="0" fontId="7" fillId="0" borderId="59" xfId="0" applyFont="1" applyBorder="1" applyAlignment="1" applyProtection="1">
      <alignment horizontal="center"/>
      <protection hidden="1"/>
    </xf>
    <xf numFmtId="0" fontId="7" fillId="0" borderId="60" xfId="0" applyFont="1" applyBorder="1" applyAlignment="1" applyProtection="1">
      <alignment horizontal="center"/>
      <protection locked="0"/>
    </xf>
    <xf numFmtId="0" fontId="7" fillId="0" borderId="60" xfId="0" applyFont="1" applyFill="1" applyBorder="1" applyAlignment="1" applyProtection="1">
      <alignment horizontal="center"/>
      <protection locked="0"/>
    </xf>
    <xf numFmtId="0" fontId="7" fillId="0" borderId="61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165" fontId="4" fillId="0" borderId="2" xfId="0" applyNumberFormat="1" applyFont="1" applyBorder="1" applyAlignment="1" applyProtection="1">
      <alignment horizontal="center" wrapText="1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8" fillId="0" borderId="17" xfId="0" applyFont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 textRotation="90" wrapText="1"/>
      <protection hidden="1"/>
    </xf>
    <xf numFmtId="0" fontId="8" fillId="0" borderId="62" xfId="0" applyFont="1" applyBorder="1" applyAlignment="1" applyProtection="1">
      <alignment horizontal="center" vertical="center"/>
      <protection hidden="1"/>
    </xf>
    <xf numFmtId="2" fontId="8" fillId="0" borderId="19" xfId="0" applyNumberFormat="1" applyFont="1" applyBorder="1" applyAlignment="1" applyProtection="1">
      <alignment horizontal="center"/>
      <protection hidden="1"/>
    </xf>
    <xf numFmtId="2" fontId="8" fillId="5" borderId="13" xfId="0" applyNumberFormat="1" applyFont="1" applyFill="1" applyBorder="1" applyAlignment="1" applyProtection="1">
      <alignment horizontal="center"/>
      <protection hidden="1"/>
    </xf>
    <xf numFmtId="2" fontId="8" fillId="5" borderId="15" xfId="0" applyNumberFormat="1" applyFont="1" applyFill="1" applyBorder="1" applyAlignment="1" applyProtection="1">
      <alignment horizontal="center"/>
      <protection hidden="1"/>
    </xf>
    <xf numFmtId="0" fontId="4" fillId="0" borderId="31" xfId="0" applyFont="1" applyBorder="1" applyAlignment="1" applyProtection="1">
      <alignment horizontal="center"/>
      <protection locked="0"/>
    </xf>
    <xf numFmtId="0" fontId="24" fillId="0" borderId="57" xfId="0" applyFont="1" applyFill="1" applyBorder="1" applyAlignment="1" applyProtection="1">
      <alignment horizontal="center" vertical="center" wrapText="1"/>
      <protection hidden="1"/>
    </xf>
    <xf numFmtId="0" fontId="4" fillId="0" borderId="38" xfId="0" applyFont="1" applyBorder="1" applyAlignment="1" applyProtection="1">
      <alignment horizontal="center"/>
      <protection locked="0"/>
    </xf>
    <xf numFmtId="0" fontId="23" fillId="0" borderId="4" xfId="0" applyFont="1" applyFill="1" applyBorder="1" applyAlignment="1" applyProtection="1">
      <protection hidden="1"/>
    </xf>
    <xf numFmtId="0" fontId="31" fillId="5" borderId="47" xfId="0" applyFont="1" applyFill="1" applyBorder="1" applyAlignment="1" applyProtection="1">
      <alignment horizontal="center"/>
      <protection locked="0"/>
    </xf>
    <xf numFmtId="0" fontId="8" fillId="0" borderId="29" xfId="0" applyFont="1" applyBorder="1" applyAlignment="1" applyProtection="1">
      <alignment horizontal="center" vertical="center"/>
      <protection hidden="1"/>
    </xf>
    <xf numFmtId="0" fontId="33" fillId="0" borderId="5" xfId="0" applyFont="1" applyBorder="1" applyProtection="1">
      <protection hidden="1"/>
    </xf>
    <xf numFmtId="0" fontId="2" fillId="2" borderId="16" xfId="0" applyFont="1" applyFill="1" applyBorder="1" applyAlignment="1" applyProtection="1">
      <alignment horizontal="center" vertical="center" textRotation="90" wrapText="1"/>
      <protection hidden="1"/>
    </xf>
    <xf numFmtId="0" fontId="2" fillId="2" borderId="64" xfId="0" applyFont="1" applyFill="1" applyBorder="1" applyAlignment="1" applyProtection="1">
      <alignment horizontal="center" vertical="center" textRotation="90" wrapText="1"/>
      <protection hidden="1"/>
    </xf>
    <xf numFmtId="0" fontId="2" fillId="2" borderId="15" xfId="0" applyFont="1" applyFill="1" applyBorder="1" applyAlignment="1" applyProtection="1">
      <alignment horizontal="center" vertical="center" textRotation="90" wrapText="1"/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36" fillId="0" borderId="10" xfId="0" applyFont="1" applyFill="1" applyBorder="1" applyAlignment="1">
      <alignment horizontal="center"/>
    </xf>
    <xf numFmtId="0" fontId="37" fillId="0" borderId="11" xfId="0" applyFont="1" applyBorder="1"/>
    <xf numFmtId="0" fontId="37" fillId="0" borderId="9" xfId="0" applyFont="1" applyBorder="1"/>
    <xf numFmtId="0" fontId="29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/>
    </xf>
    <xf numFmtId="0" fontId="37" fillId="0" borderId="0" xfId="0" applyFont="1" applyBorder="1"/>
    <xf numFmtId="167" fontId="31" fillId="0" borderId="10" xfId="0" applyNumberFormat="1" applyFont="1" applyBorder="1" applyAlignment="1">
      <alignment horizontal="center"/>
    </xf>
    <xf numFmtId="167" fontId="31" fillId="0" borderId="11" xfId="0" applyNumberFormat="1" applyFont="1" applyBorder="1" applyAlignment="1">
      <alignment horizontal="center"/>
    </xf>
    <xf numFmtId="167" fontId="31" fillId="0" borderId="9" xfId="0" applyNumberFormat="1" applyFont="1" applyBorder="1" applyAlignment="1">
      <alignment horizontal="center"/>
    </xf>
    <xf numFmtId="0" fontId="17" fillId="0" borderId="10" xfId="0" applyFont="1" applyBorder="1" applyAlignment="1" applyProtection="1">
      <alignment horizontal="center"/>
      <protection hidden="1"/>
    </xf>
    <xf numFmtId="0" fontId="17" fillId="0" borderId="11" xfId="0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9" xfId="0" applyBorder="1" applyProtection="1"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18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18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23" fillId="0" borderId="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2" fontId="20" fillId="0" borderId="5" xfId="0" applyNumberFormat="1" applyFont="1" applyFill="1" applyBorder="1" applyAlignment="1" applyProtection="1">
      <alignment horizontal="center" vertical="center"/>
      <protection hidden="1"/>
    </xf>
    <xf numFmtId="2" fontId="0" fillId="0" borderId="8" xfId="0" applyNumberFormat="1" applyBorder="1"/>
    <xf numFmtId="0" fontId="16" fillId="3" borderId="10" xfId="0" applyFont="1" applyFill="1" applyBorder="1" applyAlignment="1" applyProtection="1">
      <alignment horizontal="center" vertical="center" wrapText="1"/>
      <protection hidden="1"/>
    </xf>
    <xf numFmtId="0" fontId="16" fillId="3" borderId="11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6" fillId="0" borderId="54" xfId="0" applyFont="1" applyFill="1" applyBorder="1" applyAlignment="1" applyProtection="1">
      <alignment horizontal="center"/>
      <protection hidden="1"/>
    </xf>
    <xf numFmtId="0" fontId="24" fillId="0" borderId="55" xfId="0" applyFont="1" applyFill="1" applyBorder="1" applyAlignment="1" applyProtection="1">
      <alignment horizontal="center"/>
      <protection hidden="1"/>
    </xf>
    <xf numFmtId="0" fontId="24" fillId="0" borderId="56" xfId="0" applyFont="1" applyFill="1" applyBorder="1" applyAlignment="1" applyProtection="1">
      <alignment horizontal="center"/>
      <protection hidden="1"/>
    </xf>
    <xf numFmtId="0" fontId="24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3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Fill="1" applyBorder="1" applyAlignment="1" applyProtection="1">
      <alignment horizontal="center" vertical="center" wrapText="1"/>
      <protection hidden="1"/>
    </xf>
    <xf numFmtId="0" fontId="5" fillId="0" borderId="5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Fill="1" applyBorder="1" applyAlignment="1" applyProtection="1">
      <alignment horizontal="center" vertical="center" wrapText="1"/>
      <protection hidden="1"/>
    </xf>
    <xf numFmtId="0" fontId="19" fillId="0" borderId="10" xfId="0" applyFont="1" applyBorder="1" applyAlignment="1" applyProtection="1">
      <alignment horizontal="right" vertical="center"/>
      <protection hidden="1"/>
    </xf>
    <xf numFmtId="0" fontId="19" fillId="0" borderId="11" xfId="0" applyFont="1" applyBorder="1" applyAlignment="1" applyProtection="1">
      <alignment horizontal="right" vertical="center"/>
      <protection hidden="1"/>
    </xf>
    <xf numFmtId="0" fontId="8" fillId="4" borderId="10" xfId="0" applyFont="1" applyFill="1" applyBorder="1" applyAlignment="1" applyProtection="1">
      <alignment horizontal="center"/>
      <protection hidden="1"/>
    </xf>
    <xf numFmtId="0" fontId="24" fillId="0" borderId="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0" xfId="0" applyFont="1" applyFill="1" applyBorder="1" applyAlignment="1" applyProtection="1">
      <alignment horizontal="center"/>
      <protection hidden="1"/>
    </xf>
    <xf numFmtId="0" fontId="23" fillId="0" borderId="11" xfId="0" applyFont="1" applyFill="1" applyBorder="1" applyAlignment="1" applyProtection="1">
      <alignment horizontal="center"/>
      <protection hidden="1"/>
    </xf>
    <xf numFmtId="0" fontId="23" fillId="0" borderId="9" xfId="0" applyFont="1" applyFill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26" fillId="3" borderId="10" xfId="0" applyFont="1" applyFill="1" applyBorder="1" applyAlignment="1" applyProtection="1">
      <alignment horizontal="center" vertical="center"/>
      <protection hidden="1"/>
    </xf>
    <xf numFmtId="0" fontId="26" fillId="3" borderId="11" xfId="0" applyFont="1" applyFill="1" applyBorder="1" applyAlignment="1" applyProtection="1">
      <alignment horizontal="center" vertical="center"/>
      <protection hidden="1"/>
    </xf>
    <xf numFmtId="0" fontId="26" fillId="3" borderId="9" xfId="0" applyFont="1" applyFill="1" applyBorder="1" applyAlignment="1" applyProtection="1">
      <alignment horizontal="center" vertical="center"/>
      <protection hidden="1"/>
    </xf>
    <xf numFmtId="0" fontId="34" fillId="0" borderId="10" xfId="0" applyFont="1" applyBorder="1" applyAlignment="1" applyProtection="1">
      <alignment horizontal="center"/>
      <protection locked="0"/>
    </xf>
    <xf numFmtId="0" fontId="34" fillId="0" borderId="11" xfId="0" applyFont="1" applyBorder="1" applyAlignment="1" applyProtection="1">
      <alignment horizontal="center"/>
      <protection locked="0"/>
    </xf>
    <xf numFmtId="0" fontId="34" fillId="0" borderId="9" xfId="0" applyFont="1" applyBorder="1" applyAlignment="1" applyProtection="1">
      <alignment horizontal="center"/>
      <protection locked="0"/>
    </xf>
    <xf numFmtId="0" fontId="32" fillId="0" borderId="10" xfId="0" applyFont="1" applyBorder="1" applyAlignment="1" applyProtection="1">
      <alignment horizontal="right"/>
      <protection hidden="1"/>
    </xf>
    <xf numFmtId="0" fontId="32" fillId="0" borderId="11" xfId="0" applyFont="1" applyBorder="1" applyAlignment="1" applyProtection="1">
      <alignment horizontal="right"/>
      <protection hidden="1"/>
    </xf>
    <xf numFmtId="0" fontId="10" fillId="3" borderId="10" xfId="0" applyFont="1" applyFill="1" applyBorder="1" applyAlignment="1" applyProtection="1">
      <alignment horizontal="center"/>
      <protection hidden="1"/>
    </xf>
    <xf numFmtId="0" fontId="10" fillId="3" borderId="11" xfId="0" applyFont="1" applyFill="1" applyBorder="1" applyAlignment="1" applyProtection="1">
      <alignment horizontal="center"/>
      <protection hidden="1"/>
    </xf>
    <xf numFmtId="0" fontId="16" fillId="0" borderId="3" xfId="0" applyFont="1" applyFill="1" applyBorder="1" applyAlignment="1" applyProtection="1">
      <alignment horizontal="center" vertical="center" wrapText="1"/>
      <protection hidden="1"/>
    </xf>
    <xf numFmtId="0" fontId="16" fillId="0" borderId="4" xfId="0" applyFont="1" applyFill="1" applyBorder="1" applyAlignment="1" applyProtection="1">
      <alignment horizontal="center" vertical="center" wrapText="1"/>
      <protection hidden="1"/>
    </xf>
    <xf numFmtId="0" fontId="16" fillId="3" borderId="18" xfId="0" applyFont="1" applyFill="1" applyBorder="1" applyAlignment="1" applyProtection="1">
      <alignment horizontal="center" vertical="center" wrapText="1"/>
      <protection hidden="1"/>
    </xf>
    <xf numFmtId="0" fontId="16" fillId="3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16" fillId="0" borderId="10" xfId="0" applyFont="1" applyFill="1" applyBorder="1" applyAlignment="1" applyProtection="1">
      <alignment horizontal="center" vertical="center"/>
      <protection hidden="1"/>
    </xf>
    <xf numFmtId="0" fontId="31" fillId="0" borderId="11" xfId="0" applyFont="1" applyFill="1" applyBorder="1" applyAlignment="1" applyProtection="1">
      <alignment horizontal="center" vertical="center"/>
      <protection hidden="1"/>
    </xf>
    <xf numFmtId="0" fontId="31" fillId="0" borderId="9" xfId="0" applyFont="1" applyFill="1" applyBorder="1" applyAlignment="1" applyProtection="1">
      <alignment horizontal="center" vertical="center"/>
      <protection hidden="1"/>
    </xf>
    <xf numFmtId="0" fontId="16" fillId="0" borderId="3" xfId="0" applyFont="1" applyFill="1" applyBorder="1" applyAlignment="1" applyProtection="1">
      <alignment horizontal="center" vertical="center"/>
      <protection hidden="1"/>
    </xf>
    <xf numFmtId="0" fontId="31" fillId="0" borderId="4" xfId="0" applyFont="1" applyFill="1" applyBorder="1" applyAlignment="1" applyProtection="1">
      <alignment horizontal="center" vertical="center"/>
      <protection hidden="1"/>
    </xf>
    <xf numFmtId="0" fontId="31" fillId="0" borderId="5" xfId="0" applyFont="1" applyFill="1" applyBorder="1" applyAlignment="1" applyProtection="1">
      <alignment horizontal="center" vertical="center"/>
      <protection hidden="1"/>
    </xf>
    <xf numFmtId="0" fontId="23" fillId="0" borderId="3" xfId="0" applyFont="1" applyFill="1" applyBorder="1" applyAlignment="1" applyProtection="1">
      <alignment horizontal="center"/>
      <protection hidden="1"/>
    </xf>
    <xf numFmtId="0" fontId="23" fillId="0" borderId="4" xfId="0" applyFont="1" applyFill="1" applyBorder="1" applyAlignment="1" applyProtection="1">
      <alignment horizontal="center"/>
      <protection hidden="1"/>
    </xf>
    <xf numFmtId="0" fontId="23" fillId="0" borderId="63" xfId="0" applyFont="1" applyFill="1" applyBorder="1" applyAlignment="1" applyProtection="1">
      <alignment horizontal="center"/>
      <protection hidden="1"/>
    </xf>
    <xf numFmtId="0" fontId="16" fillId="3" borderId="4" xfId="0" applyFont="1" applyFill="1" applyBorder="1" applyAlignment="1" applyProtection="1">
      <alignment horizontal="center" vertical="center" wrapText="1"/>
      <protection hidden="1"/>
    </xf>
    <xf numFmtId="0" fontId="0" fillId="0" borderId="11" xfId="0" applyBorder="1"/>
    <xf numFmtId="0" fontId="0" fillId="0" borderId="9" xfId="0" applyBorder="1"/>
    <xf numFmtId="2" fontId="20" fillId="0" borderId="47" xfId="0" applyNumberFormat="1" applyFont="1" applyFill="1" applyBorder="1" applyAlignment="1" applyProtection="1">
      <alignment horizontal="center" vertical="center"/>
      <protection hidden="1"/>
    </xf>
    <xf numFmtId="2" fontId="0" fillId="0" borderId="48" xfId="0" applyNumberFormat="1" applyBorder="1"/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GASPEX EMMETI - GLP'!A1"/><Relationship Id="rId2" Type="http://schemas.openxmlformats.org/officeDocument/2006/relationships/hyperlink" Target="#'GASPEX EMMETI - GN'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4.emf"/><Relationship Id="rId7" Type="http://schemas.openxmlformats.org/officeDocument/2006/relationships/image" Target="../media/image7.emf"/><Relationship Id="rId2" Type="http://schemas.openxmlformats.org/officeDocument/2006/relationships/image" Target="../media/image3.emf"/><Relationship Id="rId1" Type="http://schemas.openxmlformats.org/officeDocument/2006/relationships/image" Target="../media/image2.pn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hyperlink" Target="#'Home Emmeti'!A1"/><Relationship Id="rId10" Type="http://schemas.openxmlformats.org/officeDocument/2006/relationships/image" Target="../media/image10.emf"/><Relationship Id="rId4" Type="http://schemas.openxmlformats.org/officeDocument/2006/relationships/image" Target="../media/image5.emf"/><Relationship Id="rId9" Type="http://schemas.openxmlformats.org/officeDocument/2006/relationships/image" Target="../media/image9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4.emf"/><Relationship Id="rId7" Type="http://schemas.openxmlformats.org/officeDocument/2006/relationships/image" Target="../media/image7.emf"/><Relationship Id="rId2" Type="http://schemas.openxmlformats.org/officeDocument/2006/relationships/image" Target="../media/image3.emf"/><Relationship Id="rId1" Type="http://schemas.openxmlformats.org/officeDocument/2006/relationships/image" Target="../media/image2.pn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hyperlink" Target="#'Home Emmeti'!A1"/><Relationship Id="rId10" Type="http://schemas.openxmlformats.org/officeDocument/2006/relationships/image" Target="../media/image10.emf"/><Relationship Id="rId4" Type="http://schemas.openxmlformats.org/officeDocument/2006/relationships/image" Target="../media/image5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477989</xdr:colOff>
      <xdr:row>26</xdr:row>
      <xdr:rowOff>135813</xdr:rowOff>
    </xdr:to>
    <xdr:pic>
      <xdr:nvPicPr>
        <xdr:cNvPr id="2" name="Imagem 1" descr="Emmeti - Imagem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183589" cy="5326938"/>
        </a:xfrm>
        <a:prstGeom prst="rect">
          <a:avLst/>
        </a:prstGeom>
      </xdr:spPr>
    </xdr:pic>
    <xdr:clientData/>
  </xdr:twoCellAnchor>
  <xdr:twoCellAnchor>
    <xdr:from>
      <xdr:col>13</xdr:col>
      <xdr:colOff>304800</xdr:colOff>
      <xdr:row>12</xdr:row>
      <xdr:rowOff>47625</xdr:rowOff>
    </xdr:from>
    <xdr:to>
      <xdr:col>16</xdr:col>
      <xdr:colOff>285750</xdr:colOff>
      <xdr:row>15</xdr:row>
      <xdr:rowOff>114300</xdr:rowOff>
    </xdr:to>
    <xdr:sp macro="" textlink="">
      <xdr:nvSpPr>
        <xdr:cNvPr id="3" name="Bise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20000" y="2381250"/>
          <a:ext cx="1809750" cy="4953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2400">
              <a:solidFill>
                <a:schemeClr val="lt1"/>
              </a:solidFill>
              <a:latin typeface="+mn-lt"/>
              <a:ea typeface="+mn-ea"/>
              <a:cs typeface="+mn-cs"/>
            </a:rPr>
            <a:t>GN</a:t>
          </a:r>
          <a:endParaRPr lang="pt-BR" sz="2400"/>
        </a:p>
      </xdr:txBody>
    </xdr:sp>
    <xdr:clientData/>
  </xdr:twoCellAnchor>
  <xdr:twoCellAnchor>
    <xdr:from>
      <xdr:col>13</xdr:col>
      <xdr:colOff>304800</xdr:colOff>
      <xdr:row>17</xdr:row>
      <xdr:rowOff>0</xdr:rowOff>
    </xdr:from>
    <xdr:to>
      <xdr:col>16</xdr:col>
      <xdr:colOff>285750</xdr:colOff>
      <xdr:row>19</xdr:row>
      <xdr:rowOff>104775</xdr:rowOff>
    </xdr:to>
    <xdr:sp macro="" textlink="">
      <xdr:nvSpPr>
        <xdr:cNvPr id="4" name="Bise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229600" y="3248025"/>
          <a:ext cx="1809750" cy="6381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2400">
              <a:solidFill>
                <a:schemeClr val="lt1"/>
              </a:solidFill>
              <a:latin typeface="+mn-lt"/>
              <a:ea typeface="+mn-ea"/>
              <a:cs typeface="+mn-cs"/>
            </a:rPr>
            <a:t>GLP</a:t>
          </a:r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9525</xdr:colOff>
      <xdr:row>22</xdr:row>
      <xdr:rowOff>19050</xdr:rowOff>
    </xdr:from>
    <xdr:to>
      <xdr:col>26</xdr:col>
      <xdr:colOff>600075</xdr:colOff>
      <xdr:row>24</xdr:row>
      <xdr:rowOff>161926</xdr:rowOff>
    </xdr:to>
    <xdr:pic>
      <xdr:nvPicPr>
        <xdr:cNvPr id="2" name="Picture 16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0" y="5991225"/>
          <a:ext cx="1200150" cy="523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19049</xdr:colOff>
      <xdr:row>9</xdr:row>
      <xdr:rowOff>19050</xdr:rowOff>
    </xdr:from>
    <xdr:to>
      <xdr:col>26</xdr:col>
      <xdr:colOff>514708</xdr:colOff>
      <xdr:row>12</xdr:row>
      <xdr:rowOff>180975</xdr:rowOff>
    </xdr:to>
    <xdr:pic>
      <xdr:nvPicPr>
        <xdr:cNvPr id="10" name="Picture 13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48774" y="3609975"/>
          <a:ext cx="1105259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19050</xdr:colOff>
      <xdr:row>14</xdr:row>
      <xdr:rowOff>7851</xdr:rowOff>
    </xdr:from>
    <xdr:to>
      <xdr:col>26</xdr:col>
      <xdr:colOff>571500</xdr:colOff>
      <xdr:row>16</xdr:row>
      <xdr:rowOff>190500</xdr:rowOff>
    </xdr:to>
    <xdr:pic>
      <xdr:nvPicPr>
        <xdr:cNvPr id="11" name="Picture 13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248775" y="4417926"/>
          <a:ext cx="1162050" cy="563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76199</xdr:colOff>
      <xdr:row>18</xdr:row>
      <xdr:rowOff>19051</xdr:rowOff>
    </xdr:from>
    <xdr:to>
      <xdr:col>26</xdr:col>
      <xdr:colOff>542924</xdr:colOff>
      <xdr:row>20</xdr:row>
      <xdr:rowOff>191447</xdr:rowOff>
    </xdr:to>
    <xdr:pic>
      <xdr:nvPicPr>
        <xdr:cNvPr id="12" name="Picture 13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305924" y="5210176"/>
          <a:ext cx="1076325" cy="553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180975</xdr:rowOff>
    </xdr:from>
    <xdr:to>
      <xdr:col>3</xdr:col>
      <xdr:colOff>85725</xdr:colOff>
      <xdr:row>3</xdr:row>
      <xdr:rowOff>19050</xdr:rowOff>
    </xdr:to>
    <xdr:sp macro="" textlink="">
      <xdr:nvSpPr>
        <xdr:cNvPr id="31" name="Seta para a esquerda 3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47650" y="180975"/>
          <a:ext cx="542925" cy="4095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3</xdr:col>
      <xdr:colOff>180975</xdr:colOff>
      <xdr:row>0</xdr:row>
      <xdr:rowOff>142875</xdr:rowOff>
    </xdr:from>
    <xdr:to>
      <xdr:col>7</xdr:col>
      <xdr:colOff>57149</xdr:colOff>
      <xdr:row>3</xdr:row>
      <xdr:rowOff>28575</xdr:rowOff>
    </xdr:to>
    <xdr:sp macro="" textlink="">
      <xdr:nvSpPr>
        <xdr:cNvPr id="32" name="Bisel 3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85825" y="142875"/>
          <a:ext cx="1504949" cy="4572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/>
            <a:t>HOME</a:t>
          </a:r>
          <a:r>
            <a:rPr lang="pt-BR" sz="1400" baseline="0"/>
            <a:t> EMMETI</a:t>
          </a:r>
          <a:endParaRPr lang="pt-BR" sz="1100"/>
        </a:p>
      </xdr:txBody>
    </xdr:sp>
    <xdr:clientData/>
  </xdr:twoCellAnchor>
  <xdr:twoCellAnchor editAs="oneCell">
    <xdr:from>
      <xdr:col>25</xdr:col>
      <xdr:colOff>28574</xdr:colOff>
      <xdr:row>26</xdr:row>
      <xdr:rowOff>9526</xdr:rowOff>
    </xdr:from>
    <xdr:to>
      <xdr:col>26</xdr:col>
      <xdr:colOff>495299</xdr:colOff>
      <xdr:row>28</xdr:row>
      <xdr:rowOff>171749</xdr:rowOff>
    </xdr:to>
    <xdr:pic>
      <xdr:nvPicPr>
        <xdr:cNvPr id="38" name="Picture 16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258299" y="6762751"/>
          <a:ext cx="1076325" cy="543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47625</xdr:colOff>
      <xdr:row>30</xdr:row>
      <xdr:rowOff>20012</xdr:rowOff>
    </xdr:from>
    <xdr:to>
      <xdr:col>26</xdr:col>
      <xdr:colOff>571500</xdr:colOff>
      <xdr:row>32</xdr:row>
      <xdr:rowOff>165682</xdr:rowOff>
    </xdr:to>
    <xdr:pic>
      <xdr:nvPicPr>
        <xdr:cNvPr id="39" name="Picture 165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277350" y="7554287"/>
          <a:ext cx="1133475" cy="5266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38100</xdr:colOff>
      <xdr:row>34</xdr:row>
      <xdr:rowOff>19994</xdr:rowOff>
    </xdr:from>
    <xdr:to>
      <xdr:col>26</xdr:col>
      <xdr:colOff>533400</xdr:colOff>
      <xdr:row>36</xdr:row>
      <xdr:rowOff>175254</xdr:rowOff>
    </xdr:to>
    <xdr:pic>
      <xdr:nvPicPr>
        <xdr:cNvPr id="40" name="Picture 13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267825" y="8335319"/>
          <a:ext cx="1104900" cy="536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67235</xdr:colOff>
      <xdr:row>38</xdr:row>
      <xdr:rowOff>7777</xdr:rowOff>
    </xdr:from>
    <xdr:to>
      <xdr:col>26</xdr:col>
      <xdr:colOff>202725</xdr:colOff>
      <xdr:row>40</xdr:row>
      <xdr:rowOff>186578</xdr:rowOff>
    </xdr:to>
    <xdr:pic>
      <xdr:nvPicPr>
        <xdr:cNvPr id="44" name="Picture 211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317691" y="9123762"/>
          <a:ext cx="746210" cy="559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66675</xdr:colOff>
      <xdr:row>39</xdr:row>
      <xdr:rowOff>89646</xdr:rowOff>
    </xdr:from>
    <xdr:to>
      <xdr:col>26</xdr:col>
      <xdr:colOff>224117</xdr:colOff>
      <xdr:row>40</xdr:row>
      <xdr:rowOff>114300</xdr:rowOff>
    </xdr:to>
    <xdr:sp macro="" textlink="">
      <xdr:nvSpPr>
        <xdr:cNvPr id="45" name="Line 35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H="1">
          <a:off x="16659225" y="9443196"/>
          <a:ext cx="767042" cy="215154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26</xdr:col>
      <xdr:colOff>190297</xdr:colOff>
      <xdr:row>38</xdr:row>
      <xdr:rowOff>16809</xdr:rowOff>
    </xdr:from>
    <xdr:to>
      <xdr:col>27</xdr:col>
      <xdr:colOff>378198</xdr:colOff>
      <xdr:row>40</xdr:row>
      <xdr:rowOff>190303</xdr:rowOff>
    </xdr:to>
    <xdr:pic>
      <xdr:nvPicPr>
        <xdr:cNvPr id="46" name="Picture 21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051473" y="9132794"/>
          <a:ext cx="798622" cy="554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26</xdr:col>
      <xdr:colOff>61633</xdr:colOff>
      <xdr:row>39</xdr:row>
      <xdr:rowOff>11205</xdr:rowOff>
    </xdr:from>
    <xdr:to>
      <xdr:col>27</xdr:col>
      <xdr:colOff>448234</xdr:colOff>
      <xdr:row>40</xdr:row>
      <xdr:rowOff>95250</xdr:rowOff>
    </xdr:to>
    <xdr:sp macro="" textlink="">
      <xdr:nvSpPr>
        <xdr:cNvPr id="47" name="Line 35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H="1">
          <a:off x="9922809" y="9317690"/>
          <a:ext cx="997322" cy="27454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27</xdr:col>
      <xdr:colOff>339235</xdr:colOff>
      <xdr:row>38</xdr:row>
      <xdr:rowOff>22412</xdr:rowOff>
    </xdr:from>
    <xdr:to>
      <xdr:col>28</xdr:col>
      <xdr:colOff>603335</xdr:colOff>
      <xdr:row>40</xdr:row>
      <xdr:rowOff>173691</xdr:rowOff>
    </xdr:to>
    <xdr:pic>
      <xdr:nvPicPr>
        <xdr:cNvPr id="48" name="Picture 21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811132" y="9138397"/>
          <a:ext cx="874821" cy="532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218514</xdr:colOff>
      <xdr:row>39</xdr:row>
      <xdr:rowOff>28574</xdr:rowOff>
    </xdr:from>
    <xdr:to>
      <xdr:col>28</xdr:col>
      <xdr:colOff>571498</xdr:colOff>
      <xdr:row>40</xdr:row>
      <xdr:rowOff>106456</xdr:rowOff>
    </xdr:to>
    <xdr:sp macro="" textlink="">
      <xdr:nvSpPr>
        <xdr:cNvPr id="49" name="Line 35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H="1">
          <a:off x="10690411" y="9335059"/>
          <a:ext cx="963705" cy="26838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25</xdr:col>
      <xdr:colOff>67235</xdr:colOff>
      <xdr:row>43</xdr:row>
      <xdr:rowOff>7777</xdr:rowOff>
    </xdr:from>
    <xdr:to>
      <xdr:col>26</xdr:col>
      <xdr:colOff>202725</xdr:colOff>
      <xdr:row>45</xdr:row>
      <xdr:rowOff>186578</xdr:rowOff>
    </xdr:to>
    <xdr:pic>
      <xdr:nvPicPr>
        <xdr:cNvPr id="50" name="Picture 211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317691" y="9123762"/>
          <a:ext cx="746210" cy="559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190297</xdr:colOff>
      <xdr:row>43</xdr:row>
      <xdr:rowOff>16809</xdr:rowOff>
    </xdr:from>
    <xdr:to>
      <xdr:col>27</xdr:col>
      <xdr:colOff>378198</xdr:colOff>
      <xdr:row>45</xdr:row>
      <xdr:rowOff>190303</xdr:rowOff>
    </xdr:to>
    <xdr:pic>
      <xdr:nvPicPr>
        <xdr:cNvPr id="52" name="Picture 21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051473" y="9132794"/>
          <a:ext cx="798622" cy="554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339235</xdr:colOff>
      <xdr:row>43</xdr:row>
      <xdr:rowOff>22412</xdr:rowOff>
    </xdr:from>
    <xdr:to>
      <xdr:col>28</xdr:col>
      <xdr:colOff>603335</xdr:colOff>
      <xdr:row>45</xdr:row>
      <xdr:rowOff>173691</xdr:rowOff>
    </xdr:to>
    <xdr:pic>
      <xdr:nvPicPr>
        <xdr:cNvPr id="54" name="Picture 21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811132" y="9138397"/>
          <a:ext cx="874821" cy="532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431425</xdr:colOff>
      <xdr:row>42</xdr:row>
      <xdr:rowOff>190499</xdr:rowOff>
    </xdr:from>
    <xdr:to>
      <xdr:col>25</xdr:col>
      <xdr:colOff>440747</xdr:colOff>
      <xdr:row>45</xdr:row>
      <xdr:rowOff>5041</xdr:rowOff>
    </xdr:to>
    <xdr:sp macro="" textlink="">
      <xdr:nvSpPr>
        <xdr:cNvPr id="56" name="Line 30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H="1" flipV="1">
          <a:off x="9681881" y="10096499"/>
          <a:ext cx="9322" cy="397248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440746</xdr:colOff>
      <xdr:row>44</xdr:row>
      <xdr:rowOff>95250</xdr:rowOff>
    </xdr:from>
    <xdr:to>
      <xdr:col>26</xdr:col>
      <xdr:colOff>224117</xdr:colOff>
      <xdr:row>44</xdr:row>
      <xdr:rowOff>186017</xdr:rowOff>
    </xdr:to>
    <xdr:sp macro="" textlink="">
      <xdr:nvSpPr>
        <xdr:cNvPr id="57" name="Line 30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H="1">
          <a:off x="9691202" y="10393456"/>
          <a:ext cx="394091" cy="90767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591825</xdr:colOff>
      <xdr:row>42</xdr:row>
      <xdr:rowOff>201705</xdr:rowOff>
    </xdr:from>
    <xdr:to>
      <xdr:col>26</xdr:col>
      <xdr:colOff>599515</xdr:colOff>
      <xdr:row>44</xdr:row>
      <xdr:rowOff>133908</xdr:rowOff>
    </xdr:to>
    <xdr:sp macro="" textlink="">
      <xdr:nvSpPr>
        <xdr:cNvPr id="58" name="Line 30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10453001" y="10107705"/>
          <a:ext cx="7690" cy="324409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591825</xdr:colOff>
      <xdr:row>44</xdr:row>
      <xdr:rowOff>39220</xdr:rowOff>
    </xdr:from>
    <xdr:to>
      <xdr:col>27</xdr:col>
      <xdr:colOff>347382</xdr:colOff>
      <xdr:row>44</xdr:row>
      <xdr:rowOff>124386</xdr:rowOff>
    </xdr:to>
    <xdr:sp macro="" textlink="">
      <xdr:nvSpPr>
        <xdr:cNvPr id="59" name="Line 30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H="1">
          <a:off x="10453001" y="10337426"/>
          <a:ext cx="366278" cy="85166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176750</xdr:colOff>
      <xdr:row>43</xdr:row>
      <xdr:rowOff>0</xdr:rowOff>
    </xdr:from>
    <xdr:to>
      <xdr:col>28</xdr:col>
      <xdr:colOff>184440</xdr:colOff>
      <xdr:row>44</xdr:row>
      <xdr:rowOff>133909</xdr:rowOff>
    </xdr:to>
    <xdr:sp macro="" textlink="">
      <xdr:nvSpPr>
        <xdr:cNvPr id="60" name="Line 30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11259368" y="10107706"/>
          <a:ext cx="7690" cy="324409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176749</xdr:colOff>
      <xdr:row>44</xdr:row>
      <xdr:rowOff>28015</xdr:rowOff>
    </xdr:from>
    <xdr:to>
      <xdr:col>28</xdr:col>
      <xdr:colOff>577102</xdr:colOff>
      <xdr:row>44</xdr:row>
      <xdr:rowOff>124387</xdr:rowOff>
    </xdr:to>
    <xdr:sp macro="" textlink="">
      <xdr:nvSpPr>
        <xdr:cNvPr id="61" name="Line 3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H="1">
          <a:off x="11259367" y="10326221"/>
          <a:ext cx="400353" cy="9637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25</xdr:col>
      <xdr:colOff>67235</xdr:colOff>
      <xdr:row>48</xdr:row>
      <xdr:rowOff>7777</xdr:rowOff>
    </xdr:from>
    <xdr:to>
      <xdr:col>26</xdr:col>
      <xdr:colOff>202725</xdr:colOff>
      <xdr:row>50</xdr:row>
      <xdr:rowOff>186578</xdr:rowOff>
    </xdr:to>
    <xdr:pic>
      <xdr:nvPicPr>
        <xdr:cNvPr id="62" name="Picture 21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317691" y="10115483"/>
          <a:ext cx="746210" cy="559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190297</xdr:colOff>
      <xdr:row>48</xdr:row>
      <xdr:rowOff>16809</xdr:rowOff>
    </xdr:from>
    <xdr:to>
      <xdr:col>27</xdr:col>
      <xdr:colOff>378198</xdr:colOff>
      <xdr:row>50</xdr:row>
      <xdr:rowOff>190303</xdr:rowOff>
    </xdr:to>
    <xdr:pic>
      <xdr:nvPicPr>
        <xdr:cNvPr id="63" name="Picture 21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051473" y="10124515"/>
          <a:ext cx="798622" cy="554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339235</xdr:colOff>
      <xdr:row>48</xdr:row>
      <xdr:rowOff>22412</xdr:rowOff>
    </xdr:from>
    <xdr:to>
      <xdr:col>28</xdr:col>
      <xdr:colOff>603335</xdr:colOff>
      <xdr:row>50</xdr:row>
      <xdr:rowOff>173691</xdr:rowOff>
    </xdr:to>
    <xdr:pic>
      <xdr:nvPicPr>
        <xdr:cNvPr id="64" name="Picture 21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811132" y="10130118"/>
          <a:ext cx="874821" cy="532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428624</xdr:colOff>
      <xdr:row>48</xdr:row>
      <xdr:rowOff>26457</xdr:rowOff>
    </xdr:from>
    <xdr:to>
      <xdr:col>25</xdr:col>
      <xdr:colOff>433916</xdr:colOff>
      <xdr:row>49</xdr:row>
      <xdr:rowOff>185208</xdr:rowOff>
    </xdr:to>
    <xdr:sp macro="" textlink="">
      <xdr:nvSpPr>
        <xdr:cNvPr id="71" name="Line 3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>
          <a:off x="9646707" y="11138957"/>
          <a:ext cx="5292" cy="349251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587375</xdr:colOff>
      <xdr:row>48</xdr:row>
      <xdr:rowOff>12140</xdr:rowOff>
    </xdr:from>
    <xdr:to>
      <xdr:col>26</xdr:col>
      <xdr:colOff>589983</xdr:colOff>
      <xdr:row>49</xdr:row>
      <xdr:rowOff>148167</xdr:rowOff>
    </xdr:to>
    <xdr:sp macro="" textlink="">
      <xdr:nvSpPr>
        <xdr:cNvPr id="72" name="Line 30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H="1">
          <a:off x="10414000" y="11124640"/>
          <a:ext cx="2608" cy="326527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174891</xdr:colOff>
      <xdr:row>48</xdr:row>
      <xdr:rowOff>17743</xdr:rowOff>
    </xdr:from>
    <xdr:to>
      <xdr:col>28</xdr:col>
      <xdr:colOff>179916</xdr:colOff>
      <xdr:row>49</xdr:row>
      <xdr:rowOff>148167</xdr:rowOff>
    </xdr:to>
    <xdr:sp macro="" textlink="">
      <xdr:nvSpPr>
        <xdr:cNvPr id="73" name="Line 30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>
          <a:off x="11218599" y="11130243"/>
          <a:ext cx="5025" cy="320924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25</xdr:col>
      <xdr:colOff>47625</xdr:colOff>
      <xdr:row>26</xdr:row>
      <xdr:rowOff>20012</xdr:rowOff>
    </xdr:from>
    <xdr:to>
      <xdr:col>26</xdr:col>
      <xdr:colOff>571500</xdr:colOff>
      <xdr:row>28</xdr:row>
      <xdr:rowOff>165682</xdr:rowOff>
    </xdr:to>
    <xdr:pic>
      <xdr:nvPicPr>
        <xdr:cNvPr id="75" name="Picture 165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220450" y="7554287"/>
          <a:ext cx="1133475" cy="5266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28574</xdr:colOff>
      <xdr:row>30</xdr:row>
      <xdr:rowOff>9526</xdr:rowOff>
    </xdr:from>
    <xdr:to>
      <xdr:col>26</xdr:col>
      <xdr:colOff>495299</xdr:colOff>
      <xdr:row>32</xdr:row>
      <xdr:rowOff>171749</xdr:rowOff>
    </xdr:to>
    <xdr:pic>
      <xdr:nvPicPr>
        <xdr:cNvPr id="76" name="Picture 16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639799" y="7543801"/>
          <a:ext cx="1076325" cy="543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9525</xdr:colOff>
      <xdr:row>22</xdr:row>
      <xdr:rowOff>19050</xdr:rowOff>
    </xdr:from>
    <xdr:to>
      <xdr:col>26</xdr:col>
      <xdr:colOff>592455</xdr:colOff>
      <xdr:row>24</xdr:row>
      <xdr:rowOff>171451</xdr:rowOff>
    </xdr:to>
    <xdr:pic>
      <xdr:nvPicPr>
        <xdr:cNvPr id="2" name="Picture 16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53525" y="5991225"/>
          <a:ext cx="1200150" cy="523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19049</xdr:colOff>
      <xdr:row>9</xdr:row>
      <xdr:rowOff>19050</xdr:rowOff>
    </xdr:from>
    <xdr:to>
      <xdr:col>26</xdr:col>
      <xdr:colOff>510898</xdr:colOff>
      <xdr:row>12</xdr:row>
      <xdr:rowOff>173355</xdr:rowOff>
    </xdr:to>
    <xdr:pic>
      <xdr:nvPicPr>
        <xdr:cNvPr id="3" name="Picture 13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63049" y="3609975"/>
          <a:ext cx="1105259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19050</xdr:colOff>
      <xdr:row>14</xdr:row>
      <xdr:rowOff>7851</xdr:rowOff>
    </xdr:from>
    <xdr:to>
      <xdr:col>26</xdr:col>
      <xdr:colOff>571500</xdr:colOff>
      <xdr:row>17</xdr:row>
      <xdr:rowOff>0</xdr:rowOff>
    </xdr:to>
    <xdr:pic>
      <xdr:nvPicPr>
        <xdr:cNvPr id="4" name="Picture 13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163050" y="4417926"/>
          <a:ext cx="1162050" cy="563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76199</xdr:colOff>
      <xdr:row>18</xdr:row>
      <xdr:rowOff>19051</xdr:rowOff>
    </xdr:from>
    <xdr:to>
      <xdr:col>26</xdr:col>
      <xdr:colOff>550544</xdr:colOff>
      <xdr:row>21</xdr:row>
      <xdr:rowOff>947</xdr:rowOff>
    </xdr:to>
    <xdr:pic>
      <xdr:nvPicPr>
        <xdr:cNvPr id="5" name="Picture 13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220199" y="5210176"/>
          <a:ext cx="1076325" cy="553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180975</xdr:rowOff>
    </xdr:from>
    <xdr:to>
      <xdr:col>3</xdr:col>
      <xdr:colOff>85725</xdr:colOff>
      <xdr:row>3</xdr:row>
      <xdr:rowOff>19050</xdr:rowOff>
    </xdr:to>
    <xdr:sp macro="" textlink="">
      <xdr:nvSpPr>
        <xdr:cNvPr id="6" name="Seta para a esquerda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61925" y="180975"/>
          <a:ext cx="533400" cy="4095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3</xdr:col>
      <xdr:colOff>180975</xdr:colOff>
      <xdr:row>0</xdr:row>
      <xdr:rowOff>142875</xdr:rowOff>
    </xdr:from>
    <xdr:to>
      <xdr:col>7</xdr:col>
      <xdr:colOff>57149</xdr:colOff>
      <xdr:row>3</xdr:row>
      <xdr:rowOff>28575</xdr:rowOff>
    </xdr:to>
    <xdr:sp macro="" textlink="">
      <xdr:nvSpPr>
        <xdr:cNvPr id="7" name="Bise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90575" y="142875"/>
          <a:ext cx="1438274" cy="4572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/>
            <a:t>HOME</a:t>
          </a:r>
          <a:r>
            <a:rPr lang="pt-BR" sz="1400" baseline="0"/>
            <a:t> EMMETI</a:t>
          </a:r>
          <a:endParaRPr lang="pt-BR" sz="1100"/>
        </a:p>
      </xdr:txBody>
    </xdr:sp>
    <xdr:clientData/>
  </xdr:twoCellAnchor>
  <xdr:twoCellAnchor editAs="oneCell">
    <xdr:from>
      <xdr:col>25</xdr:col>
      <xdr:colOff>28574</xdr:colOff>
      <xdr:row>26</xdr:row>
      <xdr:rowOff>9526</xdr:rowOff>
    </xdr:from>
    <xdr:to>
      <xdr:col>26</xdr:col>
      <xdr:colOff>495299</xdr:colOff>
      <xdr:row>28</xdr:row>
      <xdr:rowOff>167939</xdr:rowOff>
    </xdr:to>
    <xdr:pic>
      <xdr:nvPicPr>
        <xdr:cNvPr id="8" name="Picture 16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172574" y="6762751"/>
          <a:ext cx="1076325" cy="543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47625</xdr:colOff>
      <xdr:row>30</xdr:row>
      <xdr:rowOff>20012</xdr:rowOff>
    </xdr:from>
    <xdr:to>
      <xdr:col>26</xdr:col>
      <xdr:colOff>571500</xdr:colOff>
      <xdr:row>32</xdr:row>
      <xdr:rowOff>169492</xdr:rowOff>
    </xdr:to>
    <xdr:pic>
      <xdr:nvPicPr>
        <xdr:cNvPr id="9" name="Picture 165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191625" y="7554287"/>
          <a:ext cx="1133475" cy="5266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38100</xdr:colOff>
      <xdr:row>34</xdr:row>
      <xdr:rowOff>19994</xdr:rowOff>
    </xdr:from>
    <xdr:to>
      <xdr:col>26</xdr:col>
      <xdr:colOff>533400</xdr:colOff>
      <xdr:row>36</xdr:row>
      <xdr:rowOff>171444</xdr:rowOff>
    </xdr:to>
    <xdr:pic>
      <xdr:nvPicPr>
        <xdr:cNvPr id="10" name="Picture 13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182100" y="8335319"/>
          <a:ext cx="1104900" cy="536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67235</xdr:colOff>
      <xdr:row>38</xdr:row>
      <xdr:rowOff>7777</xdr:rowOff>
    </xdr:from>
    <xdr:to>
      <xdr:col>26</xdr:col>
      <xdr:colOff>206535</xdr:colOff>
      <xdr:row>40</xdr:row>
      <xdr:rowOff>175148</xdr:rowOff>
    </xdr:to>
    <xdr:pic>
      <xdr:nvPicPr>
        <xdr:cNvPr id="11" name="Picture 2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211235" y="9104152"/>
          <a:ext cx="745090" cy="559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235323</xdr:colOff>
      <xdr:row>39</xdr:row>
      <xdr:rowOff>89646</xdr:rowOff>
    </xdr:from>
    <xdr:to>
      <xdr:col>26</xdr:col>
      <xdr:colOff>224118</xdr:colOff>
      <xdr:row>40</xdr:row>
      <xdr:rowOff>117661</xdr:rowOff>
    </xdr:to>
    <xdr:sp macro="" textlink="">
      <xdr:nvSpPr>
        <xdr:cNvPr id="12" name="Line 35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 flipH="1">
          <a:off x="9122148" y="9376521"/>
          <a:ext cx="855570" cy="21851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26</xdr:col>
      <xdr:colOff>190297</xdr:colOff>
      <xdr:row>38</xdr:row>
      <xdr:rowOff>16809</xdr:rowOff>
    </xdr:from>
    <xdr:to>
      <xdr:col>27</xdr:col>
      <xdr:colOff>378198</xdr:colOff>
      <xdr:row>40</xdr:row>
      <xdr:rowOff>190303</xdr:rowOff>
    </xdr:to>
    <xdr:pic>
      <xdr:nvPicPr>
        <xdr:cNvPr id="13" name="Picture 2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943897" y="9113184"/>
          <a:ext cx="797501" cy="554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26</xdr:col>
      <xdr:colOff>61633</xdr:colOff>
      <xdr:row>39</xdr:row>
      <xdr:rowOff>11205</xdr:rowOff>
    </xdr:from>
    <xdr:to>
      <xdr:col>27</xdr:col>
      <xdr:colOff>448234</xdr:colOff>
      <xdr:row>40</xdr:row>
      <xdr:rowOff>95250</xdr:rowOff>
    </xdr:to>
    <xdr:sp macro="" textlink="">
      <xdr:nvSpPr>
        <xdr:cNvPr id="14" name="Line 35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 flipH="1">
          <a:off x="9815233" y="9298080"/>
          <a:ext cx="996201" cy="27454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27</xdr:col>
      <xdr:colOff>339235</xdr:colOff>
      <xdr:row>38</xdr:row>
      <xdr:rowOff>22412</xdr:rowOff>
    </xdr:from>
    <xdr:to>
      <xdr:col>28</xdr:col>
      <xdr:colOff>590000</xdr:colOff>
      <xdr:row>40</xdr:row>
      <xdr:rowOff>169881</xdr:rowOff>
    </xdr:to>
    <xdr:pic>
      <xdr:nvPicPr>
        <xdr:cNvPr id="15" name="Picture 21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702435" y="9118787"/>
          <a:ext cx="873700" cy="532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218514</xdr:colOff>
      <xdr:row>39</xdr:row>
      <xdr:rowOff>28574</xdr:rowOff>
    </xdr:from>
    <xdr:to>
      <xdr:col>28</xdr:col>
      <xdr:colOff>571498</xdr:colOff>
      <xdr:row>40</xdr:row>
      <xdr:rowOff>106456</xdr:rowOff>
    </xdr:to>
    <xdr:sp macro="" textlink="">
      <xdr:nvSpPr>
        <xdr:cNvPr id="16" name="Line 3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 flipH="1">
          <a:off x="10581714" y="9315449"/>
          <a:ext cx="962584" cy="26838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25</xdr:col>
      <xdr:colOff>67235</xdr:colOff>
      <xdr:row>43</xdr:row>
      <xdr:rowOff>7777</xdr:rowOff>
    </xdr:from>
    <xdr:to>
      <xdr:col>26</xdr:col>
      <xdr:colOff>206535</xdr:colOff>
      <xdr:row>45</xdr:row>
      <xdr:rowOff>175148</xdr:rowOff>
    </xdr:to>
    <xdr:pic>
      <xdr:nvPicPr>
        <xdr:cNvPr id="17" name="Picture 21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211235" y="10094752"/>
          <a:ext cx="745090" cy="559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190297</xdr:colOff>
      <xdr:row>43</xdr:row>
      <xdr:rowOff>16809</xdr:rowOff>
    </xdr:from>
    <xdr:to>
      <xdr:col>27</xdr:col>
      <xdr:colOff>378198</xdr:colOff>
      <xdr:row>45</xdr:row>
      <xdr:rowOff>190303</xdr:rowOff>
    </xdr:to>
    <xdr:pic>
      <xdr:nvPicPr>
        <xdr:cNvPr id="18" name="Picture 21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943897" y="10103784"/>
          <a:ext cx="797501" cy="554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339235</xdr:colOff>
      <xdr:row>43</xdr:row>
      <xdr:rowOff>22412</xdr:rowOff>
    </xdr:from>
    <xdr:to>
      <xdr:col>28</xdr:col>
      <xdr:colOff>590000</xdr:colOff>
      <xdr:row>45</xdr:row>
      <xdr:rowOff>169881</xdr:rowOff>
    </xdr:to>
    <xdr:pic>
      <xdr:nvPicPr>
        <xdr:cNvPr id="19" name="Picture 213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702435" y="10109387"/>
          <a:ext cx="873700" cy="532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431425</xdr:colOff>
      <xdr:row>42</xdr:row>
      <xdr:rowOff>190499</xdr:rowOff>
    </xdr:from>
    <xdr:to>
      <xdr:col>25</xdr:col>
      <xdr:colOff>440747</xdr:colOff>
      <xdr:row>45</xdr:row>
      <xdr:rowOff>5041</xdr:rowOff>
    </xdr:to>
    <xdr:sp macro="" textlink="">
      <xdr:nvSpPr>
        <xdr:cNvPr id="20" name="Line 3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 flipH="1" flipV="1">
          <a:off x="9575425" y="10077449"/>
          <a:ext cx="9322" cy="395567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440746</xdr:colOff>
      <xdr:row>44</xdr:row>
      <xdr:rowOff>95250</xdr:rowOff>
    </xdr:from>
    <xdr:to>
      <xdr:col>26</xdr:col>
      <xdr:colOff>224117</xdr:colOff>
      <xdr:row>44</xdr:row>
      <xdr:rowOff>186017</xdr:rowOff>
    </xdr:to>
    <xdr:sp macro="" textlink="">
      <xdr:nvSpPr>
        <xdr:cNvPr id="21" name="Line 3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ShapeType="1"/>
        </xdr:cNvSpPr>
      </xdr:nvSpPr>
      <xdr:spPr bwMode="auto">
        <a:xfrm flipH="1">
          <a:off x="9584746" y="10372725"/>
          <a:ext cx="392971" cy="90767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591825</xdr:colOff>
      <xdr:row>42</xdr:row>
      <xdr:rowOff>201705</xdr:rowOff>
    </xdr:from>
    <xdr:to>
      <xdr:col>26</xdr:col>
      <xdr:colOff>599515</xdr:colOff>
      <xdr:row>44</xdr:row>
      <xdr:rowOff>133908</xdr:rowOff>
    </xdr:to>
    <xdr:sp macro="" textlink="">
      <xdr:nvSpPr>
        <xdr:cNvPr id="22" name="Line 30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 bwMode="auto">
        <a:xfrm flipV="1">
          <a:off x="10345425" y="10088655"/>
          <a:ext cx="7690" cy="322728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591825</xdr:colOff>
      <xdr:row>44</xdr:row>
      <xdr:rowOff>39220</xdr:rowOff>
    </xdr:from>
    <xdr:to>
      <xdr:col>27</xdr:col>
      <xdr:colOff>347382</xdr:colOff>
      <xdr:row>44</xdr:row>
      <xdr:rowOff>124386</xdr:rowOff>
    </xdr:to>
    <xdr:sp macro="" textlink="">
      <xdr:nvSpPr>
        <xdr:cNvPr id="23" name="Line 30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 bwMode="auto">
        <a:xfrm flipH="1">
          <a:off x="10345425" y="10316695"/>
          <a:ext cx="365157" cy="85166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176750</xdr:colOff>
      <xdr:row>43</xdr:row>
      <xdr:rowOff>0</xdr:rowOff>
    </xdr:from>
    <xdr:to>
      <xdr:col>28</xdr:col>
      <xdr:colOff>184440</xdr:colOff>
      <xdr:row>44</xdr:row>
      <xdr:rowOff>133909</xdr:rowOff>
    </xdr:to>
    <xdr:sp macro="" textlink="">
      <xdr:nvSpPr>
        <xdr:cNvPr id="24" name="Line 30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ShapeType="1"/>
        </xdr:cNvSpPr>
      </xdr:nvSpPr>
      <xdr:spPr bwMode="auto">
        <a:xfrm flipV="1">
          <a:off x="11149550" y="10086975"/>
          <a:ext cx="7690" cy="324409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176749</xdr:colOff>
      <xdr:row>44</xdr:row>
      <xdr:rowOff>28015</xdr:rowOff>
    </xdr:from>
    <xdr:to>
      <xdr:col>28</xdr:col>
      <xdr:colOff>577102</xdr:colOff>
      <xdr:row>44</xdr:row>
      <xdr:rowOff>124387</xdr:rowOff>
    </xdr:to>
    <xdr:sp macro="" textlink="">
      <xdr:nvSpPr>
        <xdr:cNvPr id="25" name="Line 30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ShapeType="1"/>
        </xdr:cNvSpPr>
      </xdr:nvSpPr>
      <xdr:spPr bwMode="auto">
        <a:xfrm flipH="1">
          <a:off x="11149549" y="10305490"/>
          <a:ext cx="400353" cy="9637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25</xdr:col>
      <xdr:colOff>67235</xdr:colOff>
      <xdr:row>48</xdr:row>
      <xdr:rowOff>7777</xdr:rowOff>
    </xdr:from>
    <xdr:to>
      <xdr:col>26</xdr:col>
      <xdr:colOff>206535</xdr:colOff>
      <xdr:row>50</xdr:row>
      <xdr:rowOff>175148</xdr:rowOff>
    </xdr:to>
    <xdr:pic>
      <xdr:nvPicPr>
        <xdr:cNvPr id="26" name="Picture 21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211235" y="11085352"/>
          <a:ext cx="745090" cy="559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190297</xdr:colOff>
      <xdr:row>48</xdr:row>
      <xdr:rowOff>16809</xdr:rowOff>
    </xdr:from>
    <xdr:to>
      <xdr:col>27</xdr:col>
      <xdr:colOff>378198</xdr:colOff>
      <xdr:row>50</xdr:row>
      <xdr:rowOff>190303</xdr:rowOff>
    </xdr:to>
    <xdr:pic>
      <xdr:nvPicPr>
        <xdr:cNvPr id="27" name="Picture 21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943897" y="11094384"/>
          <a:ext cx="797501" cy="554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339235</xdr:colOff>
      <xdr:row>48</xdr:row>
      <xdr:rowOff>22412</xdr:rowOff>
    </xdr:from>
    <xdr:to>
      <xdr:col>28</xdr:col>
      <xdr:colOff>590000</xdr:colOff>
      <xdr:row>50</xdr:row>
      <xdr:rowOff>169881</xdr:rowOff>
    </xdr:to>
    <xdr:pic>
      <xdr:nvPicPr>
        <xdr:cNvPr id="28" name="Picture 213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702435" y="11099987"/>
          <a:ext cx="873700" cy="532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428624</xdr:colOff>
      <xdr:row>48</xdr:row>
      <xdr:rowOff>26457</xdr:rowOff>
    </xdr:from>
    <xdr:to>
      <xdr:col>25</xdr:col>
      <xdr:colOff>433916</xdr:colOff>
      <xdr:row>49</xdr:row>
      <xdr:rowOff>185208</xdr:rowOff>
    </xdr:to>
    <xdr:sp macro="" textlink="">
      <xdr:nvSpPr>
        <xdr:cNvPr id="29" name="Line 30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ShapeType="1"/>
        </xdr:cNvSpPr>
      </xdr:nvSpPr>
      <xdr:spPr bwMode="auto">
        <a:xfrm>
          <a:off x="9572624" y="11104032"/>
          <a:ext cx="5292" cy="349251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587375</xdr:colOff>
      <xdr:row>48</xdr:row>
      <xdr:rowOff>12140</xdr:rowOff>
    </xdr:from>
    <xdr:to>
      <xdr:col>26</xdr:col>
      <xdr:colOff>589983</xdr:colOff>
      <xdr:row>49</xdr:row>
      <xdr:rowOff>148167</xdr:rowOff>
    </xdr:to>
    <xdr:sp macro="" textlink="">
      <xdr:nvSpPr>
        <xdr:cNvPr id="30" name="Line 30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ShapeType="1"/>
        </xdr:cNvSpPr>
      </xdr:nvSpPr>
      <xdr:spPr bwMode="auto">
        <a:xfrm flipH="1">
          <a:off x="10340975" y="11089715"/>
          <a:ext cx="2608" cy="326527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174891</xdr:colOff>
      <xdr:row>48</xdr:row>
      <xdr:rowOff>17743</xdr:rowOff>
    </xdr:from>
    <xdr:to>
      <xdr:col>28</xdr:col>
      <xdr:colOff>179916</xdr:colOff>
      <xdr:row>49</xdr:row>
      <xdr:rowOff>148167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ShapeType="1"/>
        </xdr:cNvSpPr>
      </xdr:nvSpPr>
      <xdr:spPr bwMode="auto">
        <a:xfrm>
          <a:off x="11147691" y="11095318"/>
          <a:ext cx="5025" cy="320924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25</xdr:col>
      <xdr:colOff>47625</xdr:colOff>
      <xdr:row>26</xdr:row>
      <xdr:rowOff>20012</xdr:rowOff>
    </xdr:from>
    <xdr:to>
      <xdr:col>26</xdr:col>
      <xdr:colOff>571500</xdr:colOff>
      <xdr:row>28</xdr:row>
      <xdr:rowOff>169492</xdr:rowOff>
    </xdr:to>
    <xdr:pic>
      <xdr:nvPicPr>
        <xdr:cNvPr id="32" name="Picture 165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191625" y="6773237"/>
          <a:ext cx="1133475" cy="5266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28574</xdr:colOff>
      <xdr:row>30</xdr:row>
      <xdr:rowOff>9526</xdr:rowOff>
    </xdr:from>
    <xdr:to>
      <xdr:col>26</xdr:col>
      <xdr:colOff>495299</xdr:colOff>
      <xdr:row>32</xdr:row>
      <xdr:rowOff>167939</xdr:rowOff>
    </xdr:to>
    <xdr:pic>
      <xdr:nvPicPr>
        <xdr:cNvPr id="33" name="Picture 163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172574" y="7543801"/>
          <a:ext cx="1076325" cy="543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2400">
            <a:solidFill>
              <a:schemeClr val="lt1"/>
            </a:solidFill>
            <a:latin typeface="+mn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M6:R25"/>
  <sheetViews>
    <sheetView showGridLines="0" showRowColHeaders="0" tabSelected="1" zoomScaleNormal="100" workbookViewId="0"/>
  </sheetViews>
  <sheetFormatPr defaultRowHeight="14.4" x14ac:dyDescent="0.3"/>
  <cols>
    <col min="14" max="14" width="30.44140625" bestFit="1" customWidth="1"/>
  </cols>
  <sheetData>
    <row r="6" spans="13:18" ht="15" thickBot="1" x14ac:dyDescent="0.35"/>
    <row r="7" spans="13:18" x14ac:dyDescent="0.3">
      <c r="M7" s="212" t="s">
        <v>33</v>
      </c>
      <c r="N7" s="213"/>
      <c r="O7" s="213"/>
      <c r="P7" s="213"/>
      <c r="Q7" s="213"/>
      <c r="R7" s="214"/>
    </row>
    <row r="8" spans="13:18" x14ac:dyDescent="0.3">
      <c r="M8" s="215"/>
      <c r="N8" s="216"/>
      <c r="O8" s="216"/>
      <c r="P8" s="216"/>
      <c r="Q8" s="216"/>
      <c r="R8" s="217"/>
    </row>
    <row r="9" spans="13:18" ht="15" customHeight="1" x14ac:dyDescent="0.3">
      <c r="M9" s="215"/>
      <c r="N9" s="216"/>
      <c r="O9" s="216"/>
      <c r="P9" s="216"/>
      <c r="Q9" s="216"/>
      <c r="R9" s="217"/>
    </row>
    <row r="10" spans="13:18" ht="15" customHeight="1" x14ac:dyDescent="0.3">
      <c r="M10" s="215"/>
      <c r="N10" s="216"/>
      <c r="O10" s="216"/>
      <c r="P10" s="216"/>
      <c r="Q10" s="216"/>
      <c r="R10" s="217"/>
    </row>
    <row r="11" spans="13:18" ht="15" customHeight="1" thickBot="1" x14ac:dyDescent="0.35">
      <c r="M11" s="218"/>
      <c r="N11" s="219"/>
      <c r="O11" s="219"/>
      <c r="P11" s="219"/>
      <c r="Q11" s="219"/>
      <c r="R11" s="220"/>
    </row>
    <row r="12" spans="13:18" x14ac:dyDescent="0.3">
      <c r="N12" s="74"/>
      <c r="O12" s="74"/>
      <c r="P12" s="74"/>
      <c r="Q12" s="74"/>
    </row>
    <row r="13" spans="13:18" x14ac:dyDescent="0.3">
      <c r="N13" s="75"/>
      <c r="O13" s="75"/>
      <c r="P13" s="75"/>
      <c r="Q13" s="75"/>
    </row>
    <row r="14" spans="13:18" x14ac:dyDescent="0.3">
      <c r="N14" s="75"/>
      <c r="O14" s="75"/>
      <c r="P14" s="75"/>
      <c r="Q14" s="75"/>
    </row>
    <row r="15" spans="13:18" x14ac:dyDescent="0.3">
      <c r="N15" s="73"/>
      <c r="O15" s="73"/>
      <c r="P15" s="73"/>
      <c r="Q15" s="73"/>
    </row>
    <row r="16" spans="13:18" x14ac:dyDescent="0.3">
      <c r="N16" s="73"/>
      <c r="O16" s="73"/>
      <c r="P16" s="73"/>
      <c r="Q16" s="73"/>
    </row>
    <row r="17" spans="13:18" x14ac:dyDescent="0.3">
      <c r="N17" s="75"/>
      <c r="O17" s="75"/>
      <c r="P17" s="75"/>
      <c r="Q17" s="75"/>
    </row>
    <row r="18" spans="13:18" ht="21" x14ac:dyDescent="0.4">
      <c r="N18" s="73"/>
      <c r="O18" s="77" t="s">
        <v>32</v>
      </c>
      <c r="P18" s="73"/>
      <c r="Q18" s="73"/>
    </row>
    <row r="19" spans="13:18" ht="21" x14ac:dyDescent="0.4">
      <c r="N19" s="77"/>
      <c r="O19" s="77" t="s">
        <v>32</v>
      </c>
    </row>
    <row r="20" spans="13:18" x14ac:dyDescent="0.3">
      <c r="N20" s="76"/>
      <c r="O20" s="76"/>
      <c r="P20" s="76"/>
      <c r="Q20" s="76"/>
    </row>
    <row r="21" spans="13:18" ht="15" thickBot="1" x14ac:dyDescent="0.35"/>
    <row r="22" spans="13:18" ht="18.75" customHeight="1" thickBot="1" x14ac:dyDescent="0.4">
      <c r="N22" s="223">
        <f ca="1">TODAY()</f>
        <v>43734</v>
      </c>
      <c r="O22" s="224"/>
      <c r="P22" s="224"/>
      <c r="Q22" s="225"/>
    </row>
    <row r="23" spans="13:18" ht="15.75" customHeight="1" thickBot="1" x14ac:dyDescent="0.35"/>
    <row r="24" spans="13:18" ht="15" thickBot="1" x14ac:dyDescent="0.35">
      <c r="M24" s="105"/>
      <c r="N24" s="209" t="s">
        <v>90</v>
      </c>
      <c r="O24" s="210"/>
      <c r="P24" s="210"/>
      <c r="Q24" s="211"/>
      <c r="R24" s="105"/>
    </row>
    <row r="25" spans="13:18" x14ac:dyDescent="0.3">
      <c r="M25" s="79"/>
      <c r="N25" s="221"/>
      <c r="O25" s="222"/>
      <c r="P25" s="222"/>
      <c r="Q25" s="222"/>
    </row>
  </sheetData>
  <sheetProtection password="EBAF" sheet="1" objects="1" scenarios="1"/>
  <mergeCells count="4">
    <mergeCell ref="N24:Q24"/>
    <mergeCell ref="M7:R11"/>
    <mergeCell ref="N25:Q25"/>
    <mergeCell ref="N22:Q2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G139"/>
  <sheetViews>
    <sheetView showGridLines="0" showRowColHeaders="0" zoomScale="90" zoomScaleNormal="90" workbookViewId="0">
      <selection activeCell="Q70" sqref="Q70"/>
    </sheetView>
  </sheetViews>
  <sheetFormatPr defaultRowHeight="14.4" x14ac:dyDescent="0.3"/>
  <cols>
    <col min="1" max="1" width="2.44140625" customWidth="1"/>
    <col min="2" max="2" width="6.6640625" customWidth="1"/>
    <col min="3" max="3" width="6.6640625" style="99" customWidth="1"/>
    <col min="4" max="4" width="13.33203125" customWidth="1"/>
    <col min="5" max="5" width="9.6640625" hidden="1" customWidth="1"/>
    <col min="6" max="6" width="13.6640625" hidden="1" customWidth="1"/>
    <col min="7" max="7" width="10.6640625" customWidth="1"/>
    <col min="8" max="8" width="9.6640625" customWidth="1"/>
    <col min="9" max="9" width="24.6640625" bestFit="1" customWidth="1"/>
    <col min="10" max="12" width="9.6640625" hidden="1" customWidth="1"/>
    <col min="13" max="14" width="9.6640625" customWidth="1"/>
    <col min="15" max="15" width="9.6640625" hidden="1" customWidth="1"/>
    <col min="16" max="17" width="9.6640625" customWidth="1"/>
    <col min="18" max="18" width="9.6640625" hidden="1" customWidth="1"/>
    <col min="19" max="20" width="9.6640625" customWidth="1"/>
    <col min="21" max="21" width="9.6640625" hidden="1" customWidth="1"/>
    <col min="22" max="22" width="9.6640625" customWidth="1"/>
    <col min="23" max="23" width="18.88671875" customWidth="1"/>
    <col min="24" max="24" width="17.6640625" customWidth="1"/>
    <col min="25" max="25" width="14.33203125" style="99" customWidth="1"/>
    <col min="27" max="27" width="9.109375" customWidth="1"/>
  </cols>
  <sheetData>
    <row r="2" spans="2:30" ht="15" customHeight="1" x14ac:dyDescent="0.3">
      <c r="F2" s="78"/>
      <c r="G2" s="74"/>
    </row>
    <row r="3" spans="2:30" x14ac:dyDescent="0.3">
      <c r="F3" s="74"/>
      <c r="G3" s="74"/>
    </row>
    <row r="4" spans="2:30" ht="15" thickBot="1" x14ac:dyDescent="0.35"/>
    <row r="5" spans="2:30" ht="56.25" customHeight="1" thickBot="1" x14ac:dyDescent="0.6">
      <c r="B5" s="292" t="s">
        <v>161</v>
      </c>
      <c r="C5" s="293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9"/>
      <c r="Z5" s="281" t="s">
        <v>89</v>
      </c>
      <c r="AA5" s="282"/>
      <c r="AB5" s="282"/>
      <c r="AC5" s="283"/>
    </row>
    <row r="6" spans="2:30" ht="24" customHeight="1" thickBot="1" x14ac:dyDescent="0.35">
      <c r="B6" s="294" t="s">
        <v>99</v>
      </c>
      <c r="C6" s="295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3"/>
      <c r="X6" s="6"/>
      <c r="Y6" s="105"/>
      <c r="Z6" s="284" t="s">
        <v>77</v>
      </c>
      <c r="AA6" s="285"/>
      <c r="AB6" s="285"/>
      <c r="AC6" s="286"/>
    </row>
    <row r="7" spans="2:30" ht="24" customHeight="1" thickBot="1" x14ac:dyDescent="0.4">
      <c r="B7" s="278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80"/>
      <c r="O7" s="98"/>
      <c r="P7" s="301" t="s">
        <v>160</v>
      </c>
      <c r="Q7" s="302"/>
      <c r="R7" s="302"/>
      <c r="S7" s="302"/>
      <c r="T7" s="302"/>
      <c r="U7" s="302"/>
      <c r="V7" s="303"/>
      <c r="W7" s="167" t="s">
        <v>120</v>
      </c>
      <c r="X7" s="171" t="s">
        <v>120</v>
      </c>
      <c r="Y7" s="105"/>
      <c r="Z7" s="287" t="s">
        <v>80</v>
      </c>
      <c r="AA7" s="288"/>
      <c r="AB7" s="288"/>
      <c r="AC7" s="289"/>
    </row>
    <row r="8" spans="2:30" ht="24" customHeight="1" thickBot="1" x14ac:dyDescent="0.4">
      <c r="B8" s="296" t="s">
        <v>152</v>
      </c>
      <c r="C8" s="297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9"/>
      <c r="P8" s="299"/>
      <c r="Q8" s="299"/>
      <c r="R8" s="299"/>
      <c r="S8" s="299"/>
      <c r="T8" s="299"/>
      <c r="U8" s="299"/>
      <c r="V8" s="299"/>
      <c r="W8" s="300"/>
      <c r="X8" s="171" t="s">
        <v>121</v>
      </c>
      <c r="Y8" s="105"/>
      <c r="Z8" s="290">
        <f>VLOOKUP(Z7,CONSUMO,6,FALSE)</f>
        <v>19000</v>
      </c>
      <c r="AA8" s="291"/>
      <c r="AB8" s="291"/>
      <c r="AC8" s="112" t="s">
        <v>76</v>
      </c>
    </row>
    <row r="9" spans="2:30" s="1" customFormat="1" ht="99" customHeight="1" thickBot="1" x14ac:dyDescent="0.35">
      <c r="B9" s="192" t="s">
        <v>103</v>
      </c>
      <c r="C9" s="129" t="s">
        <v>104</v>
      </c>
      <c r="D9" s="129" t="s">
        <v>14</v>
      </c>
      <c r="E9" s="129" t="s">
        <v>8</v>
      </c>
      <c r="F9" s="129" t="s">
        <v>15</v>
      </c>
      <c r="G9" s="129" t="s">
        <v>2</v>
      </c>
      <c r="H9" s="129" t="s">
        <v>16</v>
      </c>
      <c r="I9" s="129" t="s">
        <v>31</v>
      </c>
      <c r="J9" s="129" t="s">
        <v>23</v>
      </c>
      <c r="K9" s="129" t="s">
        <v>21</v>
      </c>
      <c r="L9" s="129" t="s">
        <v>3</v>
      </c>
      <c r="M9" s="129" t="s">
        <v>9</v>
      </c>
      <c r="N9" s="129" t="s">
        <v>18</v>
      </c>
      <c r="O9" s="129" t="s">
        <v>17</v>
      </c>
      <c r="P9" s="129" t="s">
        <v>4</v>
      </c>
      <c r="Q9" s="129" t="s">
        <v>102</v>
      </c>
      <c r="R9" s="129" t="s">
        <v>92</v>
      </c>
      <c r="S9" s="129" t="s">
        <v>5</v>
      </c>
      <c r="T9" s="129" t="s">
        <v>6</v>
      </c>
      <c r="U9" s="129" t="s">
        <v>5</v>
      </c>
      <c r="V9" s="129" t="s">
        <v>7</v>
      </c>
      <c r="W9" s="130" t="s">
        <v>19</v>
      </c>
      <c r="X9" s="157" t="s">
        <v>109</v>
      </c>
      <c r="AA9" s="39"/>
      <c r="AB9" s="39"/>
    </row>
    <row r="10" spans="2:30" ht="15.75" customHeight="1" thickBot="1" x14ac:dyDescent="0.35">
      <c r="B10" s="180"/>
      <c r="C10" s="122"/>
      <c r="D10" s="122" t="s">
        <v>10</v>
      </c>
      <c r="E10" s="122" t="s">
        <v>1</v>
      </c>
      <c r="F10" s="122" t="s">
        <v>10</v>
      </c>
      <c r="G10" s="122" t="s">
        <v>11</v>
      </c>
      <c r="H10" s="122" t="s">
        <v>95</v>
      </c>
      <c r="I10" s="123" t="s">
        <v>24</v>
      </c>
      <c r="J10" s="122" t="s">
        <v>25</v>
      </c>
      <c r="K10" s="124" t="s">
        <v>22</v>
      </c>
      <c r="L10" s="122" t="s">
        <v>95</v>
      </c>
      <c r="M10" s="122" t="s">
        <v>95</v>
      </c>
      <c r="N10" s="122" t="s">
        <v>12</v>
      </c>
      <c r="O10" s="122" t="s">
        <v>12</v>
      </c>
      <c r="P10" s="122" t="s">
        <v>93</v>
      </c>
      <c r="Q10" s="122" t="s">
        <v>95</v>
      </c>
      <c r="R10" s="122" t="s">
        <v>93</v>
      </c>
      <c r="S10" s="122" t="s">
        <v>93</v>
      </c>
      <c r="T10" s="122" t="s">
        <v>93</v>
      </c>
      <c r="U10" s="122" t="s">
        <v>94</v>
      </c>
      <c r="V10" s="122" t="s">
        <v>13</v>
      </c>
      <c r="W10" s="125" t="s">
        <v>20</v>
      </c>
      <c r="X10" s="125" t="s">
        <v>110</v>
      </c>
      <c r="Z10" s="240"/>
      <c r="AA10" s="241"/>
      <c r="AB10" s="246" t="s">
        <v>34</v>
      </c>
      <c r="AC10" s="247"/>
    </row>
    <row r="11" spans="2:30" s="81" customFormat="1" ht="16.5" hidden="1" customHeight="1" thickBot="1" x14ac:dyDescent="0.35">
      <c r="B11" s="181"/>
      <c r="C11" s="185"/>
      <c r="D11" s="133">
        <f>D12</f>
        <v>0</v>
      </c>
      <c r="E11" s="134" t="str">
        <f>E12</f>
        <v>100,00</v>
      </c>
      <c r="F11" s="135">
        <f>F12</f>
        <v>0</v>
      </c>
      <c r="G11" s="134">
        <f>G12</f>
        <v>0</v>
      </c>
      <c r="H11" s="132">
        <v>0</v>
      </c>
      <c r="I11" s="136" t="s">
        <v>44</v>
      </c>
      <c r="J11" s="59">
        <f>IF(I11="TEE - Passagem Direta",1.8,IF(I11="União ou Redução",1.8,IF(I11="Conector Macho",1.6,IF(I11="Conector Fêmea",1.6,IF(I11="Conector Fêmea Giratório",1.6,IF(I11="Cotovelo",2.4,IF(I11="TEE - Passagem Angular",2.2,IF(I11="Cotovelo Macho",2.2,IF(I11="Cotovelo Fêmea",2.2,IF(I11="TEE - Entrada Central",3.2,IF(I11="F",3)))))))))))</f>
        <v>2.2000000000000002</v>
      </c>
      <c r="K11" s="61">
        <f>IF(V11&gt;0,0.316*((O11*V11)/(1000*0.0000157))^-0.25,50)</f>
        <v>50</v>
      </c>
      <c r="L11" s="59">
        <f>J11*O11/(1000*K11)</f>
        <v>5.2800000000000004E-4</v>
      </c>
      <c r="M11" s="134">
        <f>SUM(H11+L11)</f>
        <v>5.2800000000000004E-4</v>
      </c>
      <c r="N11" s="131">
        <f>N12</f>
        <v>16</v>
      </c>
      <c r="O11" s="137" t="str">
        <f>IF(N11=16,"12",IF(N11=20,"16",IF(N11=26,"20",IF(N11=32,"26"))))</f>
        <v>12</v>
      </c>
      <c r="P11" s="104">
        <f>P12</f>
        <v>7.5</v>
      </c>
      <c r="Q11" s="138">
        <v>0</v>
      </c>
      <c r="R11" s="132"/>
      <c r="S11" s="18">
        <f>IF(P11="-","-",IF(P11&lt;7.6,(2029.06*G11^1.8*0.6^0.8*M11)/O11^4.8,IFERROR(((((((-4.67*10^5*0.6*M11*G11^1.82/O11^4.82)+(P11+101.33)^2)^0.5)-101.33)-P11)*-1),"-")))</f>
        <v>0</v>
      </c>
      <c r="T11" s="17">
        <f>IFERROR((P11-S11),"-")</f>
        <v>7.5</v>
      </c>
      <c r="U11" s="59">
        <f t="shared" ref="U11" si="0">(S11 - R11)/M11</f>
        <v>0</v>
      </c>
      <c r="V11" s="59">
        <f>354*G11/((P11/100+1.033)*O11^2)</f>
        <v>0</v>
      </c>
      <c r="W11" s="63" t="str">
        <f>IF(V11&gt;20,"Recalcular Diâmetro",IF(V11&lt;20,"Velocidade OK"))</f>
        <v>Velocidade OK</v>
      </c>
      <c r="X11" s="160"/>
      <c r="Y11" s="99"/>
      <c r="Z11" s="242"/>
      <c r="AA11" s="243"/>
      <c r="AB11" s="275"/>
      <c r="AC11" s="249"/>
    </row>
    <row r="12" spans="2:30" ht="15.6" thickTop="1" thickBot="1" x14ac:dyDescent="0.35">
      <c r="B12" s="182" t="s">
        <v>45</v>
      </c>
      <c r="C12" s="186" t="s">
        <v>105</v>
      </c>
      <c r="D12" s="3">
        <v>0</v>
      </c>
      <c r="E12" s="17" t="str">
        <f>IF($W$7="NÃO","100,00",IF(D12/60&lt;=350,"100,00",IF(D12/60&lt;=9612,100/(1+0.001*((D12/60)-349)^0.8712),IF(D12/60&lt;=20000,100/(1+0.4705*((D12/60)-1055)^0.19931),"23,00"))))</f>
        <v>100,00</v>
      </c>
      <c r="F12" s="25">
        <f>(D12*E12)/100</f>
        <v>0</v>
      </c>
      <c r="G12" s="17">
        <f>(F12/8600)</f>
        <v>0</v>
      </c>
      <c r="H12" s="4">
        <v>0</v>
      </c>
      <c r="I12" s="93" t="s">
        <v>78</v>
      </c>
      <c r="J12" s="17" t="b">
        <f>IF(I12="TEE - Passagem Direta",1.8,IF(I12="União ou Redução",1.8,IF(I12="Conector Macho",1.6,IF(I12="Conector Fêmea",1.6,IF(I12="Conector Fêmea Giratório",1.6,IF(I12="Cotovelo",2.4,IF(I12="TEE - Passagem Angular",2.2,IF(I12="Cotovelo Macho",2.2,IF(I12="Cotovelo Fêmea",2.2,IF(I12="TEE - Entrada Central",3.2,IF(I12="F",3)))))))))))</f>
        <v>0</v>
      </c>
      <c r="K12" s="24">
        <f>IF(V12&gt;0,0.316*((O12*V12)/(1000*0.0000157))^-0.25,50)</f>
        <v>50</v>
      </c>
      <c r="L12" s="17">
        <f>J12*O12/(1000*K12)</f>
        <v>0</v>
      </c>
      <c r="M12" s="17">
        <f t="shared" ref="M12:M37" si="1">SUM(H12+L12)</f>
        <v>0</v>
      </c>
      <c r="N12" s="139">
        <v>16</v>
      </c>
      <c r="O12" s="69" t="str">
        <f>IF(N12=16,"12",IF(N12=20,"16",IF(N12=26,"20",IF(N12=32,"26"))))</f>
        <v>12</v>
      </c>
      <c r="P12" s="70">
        <v>7.5</v>
      </c>
      <c r="Q12" s="68">
        <v>0</v>
      </c>
      <c r="R12" s="17">
        <f>-1.318*10^-2*Q12*(0.6-1)</f>
        <v>0</v>
      </c>
      <c r="S12" s="18">
        <f>IF(P12="-","-",IF(P12&lt;7.6,(2029.06*G12^1.8*0.6^0.8*M12)/O12^4.8+S11-R12,IFERROR(((((((-4.67*10^5*0.6*M12*G12^1.82/O12^4.82)+(T11+101.33)^2)^0.5)-101.33)-P12+R12-S11)*-1),"-")))</f>
        <v>0</v>
      </c>
      <c r="T12" s="17">
        <f t="shared" ref="T12:T52" si="2">IFERROR((P12-S12),"-")</f>
        <v>7.5</v>
      </c>
      <c r="U12" s="17" t="str">
        <f>IFERROR((S12 - R12)/M12,"-")</f>
        <v>-</v>
      </c>
      <c r="V12" s="17">
        <f>354*G12/O12^2</f>
        <v>0</v>
      </c>
      <c r="W12" s="19" t="str">
        <f>IF(V12&gt;20,"Recalcular Diâmetro",IF(V12&lt;20,"Velocidade OK"))</f>
        <v>Velocidade OK</v>
      </c>
      <c r="X12" s="172" t="str">
        <f t="shared" ref="X12:X52" si="3">IF(C12&lt;1000,T12,"-")</f>
        <v>-</v>
      </c>
      <c r="Y12" s="12"/>
      <c r="Z12" s="242"/>
      <c r="AA12" s="243"/>
      <c r="AB12" s="248"/>
      <c r="AC12" s="249"/>
      <c r="AD12" s="80"/>
    </row>
    <row r="13" spans="2:30" ht="15.6" thickTop="1" thickBot="1" x14ac:dyDescent="0.35">
      <c r="B13" s="182" t="s">
        <v>105</v>
      </c>
      <c r="C13" s="186" t="s">
        <v>107</v>
      </c>
      <c r="D13" s="3">
        <v>0</v>
      </c>
      <c r="E13" s="17" t="str">
        <f t="shared" ref="E13:E52" si="4">IF($W$7="NÃO","100,00",IF(D13/60&lt;=350,"100,00",IF(D13/60&lt;=9612,100/(1+0.001*((D13/60)-349)^0.8712),IF(D13/60&lt;=20000,100/(1+0.4705*((D13/60)-1055)^0.19931),"23,00"))))</f>
        <v>100,00</v>
      </c>
      <c r="F13" s="25">
        <f t="shared" ref="F13:F52" si="5">(D13*E13)/100</f>
        <v>0</v>
      </c>
      <c r="G13" s="17">
        <f t="shared" ref="G13:G52" si="6">(F13/8600)</f>
        <v>0</v>
      </c>
      <c r="H13" s="4">
        <v>0</v>
      </c>
      <c r="I13" s="93" t="s">
        <v>78</v>
      </c>
      <c r="J13" s="17" t="b">
        <f t="shared" ref="J13:J52" si="7">IF(I13="TEE - Passagem Direta",1.8,IF(I13="União ou Redução",1.8,IF(I13="Conector Macho",1.6,IF(I13="Conector Fêmea",1.6,IF(I13="Conector Fêmea Giratório",1.6,IF(I13="Cotovelo",2.4,IF(I13="TEE - Passagem Angular",2.2,IF(I13="Cotovelo Macho",2.2,IF(I13="Cotovelo Fêmea",2.2,IF(I13="TEE - Entrada Central",3.2,IF(I13="F",3)))))))))))</f>
        <v>0</v>
      </c>
      <c r="K13" s="24">
        <f t="shared" ref="K13:K52" si="8">IF(V13&gt;0,0.316*((O13*V13)/(1000*0.0000157))^-0.25,50)</f>
        <v>50</v>
      </c>
      <c r="L13" s="17">
        <f t="shared" ref="L13:L52" si="9">J13*O13/(1000*K13)</f>
        <v>0</v>
      </c>
      <c r="M13" s="72">
        <f t="shared" si="1"/>
        <v>0</v>
      </c>
      <c r="N13" s="2">
        <v>16</v>
      </c>
      <c r="O13" s="71" t="str">
        <f t="shared" ref="O13:O52" si="10">IF(N13=16,"12",IF(N13=20,"16",IF(N13=26,"20",IF(N13=32,"26"))))</f>
        <v>12</v>
      </c>
      <c r="P13" s="59">
        <f>IFERROR(VLOOKUP(B13,$C$12:$W$52,18,FALSE),"-")</f>
        <v>7.5</v>
      </c>
      <c r="Q13" s="5">
        <v>0</v>
      </c>
      <c r="R13" s="17">
        <f t="shared" ref="R13:R52" si="11">-1.318*10^-2*Q13*(0.6-1)</f>
        <v>0</v>
      </c>
      <c r="S13" s="18">
        <f>IF(P13="-","-",IF(P13&lt;7.6,(2029.06*G13^1.8*0.6^0.8*M13)/O13^4.8-R13,IFERROR(((((((-4.67*10^5*0.6*M13*G13^1.82/O13^4.82)+(P13+101.33)^2)^0.5)-101.33)+R13-P13)*-1),"-")))</f>
        <v>0</v>
      </c>
      <c r="T13" s="17">
        <f t="shared" si="2"/>
        <v>7.5</v>
      </c>
      <c r="U13" s="17" t="str">
        <f t="shared" ref="U13:U52" si="12">IFERROR((S13 - R13)/M13,"-")</f>
        <v>-</v>
      </c>
      <c r="V13" s="17">
        <f t="shared" ref="V13:V52" si="13">354*G13/O13^2</f>
        <v>0</v>
      </c>
      <c r="W13" s="19" t="str">
        <f t="shared" ref="W13:W52" si="14">IF(V13&gt;20,"Recalcular Diâmetro",IF(V13&lt;20,"Velocidade OK"))</f>
        <v>Velocidade OK</v>
      </c>
      <c r="X13" s="172" t="str">
        <f t="shared" si="3"/>
        <v>-</v>
      </c>
      <c r="Y13" s="12"/>
      <c r="Z13" s="244"/>
      <c r="AA13" s="245"/>
      <c r="AB13" s="250"/>
      <c r="AC13" s="251"/>
      <c r="AD13" s="80"/>
    </row>
    <row r="14" spans="2:30" ht="15" thickBot="1" x14ac:dyDescent="0.35">
      <c r="B14" s="182" t="s">
        <v>107</v>
      </c>
      <c r="C14" s="186" t="s">
        <v>108</v>
      </c>
      <c r="D14" s="3">
        <v>0</v>
      </c>
      <c r="E14" s="17" t="str">
        <f t="shared" si="4"/>
        <v>100,00</v>
      </c>
      <c r="F14" s="25">
        <f t="shared" si="5"/>
        <v>0</v>
      </c>
      <c r="G14" s="17">
        <f t="shared" si="6"/>
        <v>0</v>
      </c>
      <c r="H14" s="4">
        <v>0</v>
      </c>
      <c r="I14" s="93" t="s">
        <v>78</v>
      </c>
      <c r="J14" s="17" t="b">
        <f t="shared" si="7"/>
        <v>0</v>
      </c>
      <c r="K14" s="24">
        <f t="shared" si="8"/>
        <v>50</v>
      </c>
      <c r="L14" s="17">
        <f t="shared" si="9"/>
        <v>0</v>
      </c>
      <c r="M14" s="72">
        <f t="shared" si="1"/>
        <v>0</v>
      </c>
      <c r="N14" s="2">
        <v>16</v>
      </c>
      <c r="O14" s="71" t="str">
        <f t="shared" si="10"/>
        <v>12</v>
      </c>
      <c r="P14" s="59">
        <f t="shared" ref="P14:P52" si="15">IFERROR(VLOOKUP(B14,$C$12:$W$52,18,FALSE),"-")</f>
        <v>7.5</v>
      </c>
      <c r="Q14" s="5">
        <v>0</v>
      </c>
      <c r="R14" s="17">
        <f t="shared" si="11"/>
        <v>0</v>
      </c>
      <c r="S14" s="18">
        <f t="shared" ref="S14:S52" si="16">IF(P14="-","-",IF(P14&lt;7.6,(2029.06*G14^1.8*0.6^0.8*M14)/O14^4.8-R14,IFERROR(((((((-4.67*10^5*0.6*M14*G14^1.82/O14^4.82)+(P14+101.33)^2)^0.5)-101.33)+R14-P14)*-1),"-")))</f>
        <v>0</v>
      </c>
      <c r="T14" s="17">
        <f t="shared" si="2"/>
        <v>7.5</v>
      </c>
      <c r="U14" s="17" t="str">
        <f t="shared" si="12"/>
        <v>-</v>
      </c>
      <c r="V14" s="17">
        <f t="shared" si="13"/>
        <v>0</v>
      </c>
      <c r="W14" s="19" t="str">
        <f t="shared" si="14"/>
        <v>Velocidade OK</v>
      </c>
      <c r="X14" s="172" t="str">
        <f t="shared" si="3"/>
        <v>-</v>
      </c>
      <c r="Y14" s="12"/>
      <c r="Z14" s="12"/>
      <c r="AA14" s="80"/>
      <c r="AB14" s="80"/>
      <c r="AC14" s="80"/>
      <c r="AD14" s="80"/>
    </row>
    <row r="15" spans="2:30" ht="15" customHeight="1" x14ac:dyDescent="0.3">
      <c r="B15" s="182" t="s">
        <v>108</v>
      </c>
      <c r="C15" s="186" t="s">
        <v>112</v>
      </c>
      <c r="D15" s="3">
        <v>0</v>
      </c>
      <c r="E15" s="17" t="str">
        <f t="shared" si="4"/>
        <v>100,00</v>
      </c>
      <c r="F15" s="25">
        <f t="shared" si="5"/>
        <v>0</v>
      </c>
      <c r="G15" s="17">
        <f t="shared" si="6"/>
        <v>0</v>
      </c>
      <c r="H15" s="4">
        <v>0</v>
      </c>
      <c r="I15" s="93" t="s">
        <v>78</v>
      </c>
      <c r="J15" s="17" t="b">
        <f t="shared" si="7"/>
        <v>0</v>
      </c>
      <c r="K15" s="24">
        <f t="shared" si="8"/>
        <v>50</v>
      </c>
      <c r="L15" s="17">
        <f t="shared" si="9"/>
        <v>0</v>
      </c>
      <c r="M15" s="72">
        <f t="shared" si="1"/>
        <v>0</v>
      </c>
      <c r="N15" s="2">
        <v>16</v>
      </c>
      <c r="O15" s="71" t="str">
        <f t="shared" si="10"/>
        <v>12</v>
      </c>
      <c r="P15" s="59">
        <f t="shared" si="15"/>
        <v>7.5</v>
      </c>
      <c r="Q15" s="5">
        <v>0</v>
      </c>
      <c r="R15" s="17">
        <f t="shared" si="11"/>
        <v>0</v>
      </c>
      <c r="S15" s="18">
        <f t="shared" si="16"/>
        <v>0</v>
      </c>
      <c r="T15" s="17">
        <f t="shared" si="2"/>
        <v>7.5</v>
      </c>
      <c r="U15" s="17" t="str">
        <f t="shared" si="12"/>
        <v>-</v>
      </c>
      <c r="V15" s="17">
        <f t="shared" si="13"/>
        <v>0</v>
      </c>
      <c r="W15" s="19" t="str">
        <f t="shared" si="14"/>
        <v>Velocidade OK</v>
      </c>
      <c r="X15" s="172" t="str">
        <f t="shared" si="3"/>
        <v>-</v>
      </c>
      <c r="Y15" s="12"/>
      <c r="Z15" s="240"/>
      <c r="AA15" s="241"/>
      <c r="AB15" s="246" t="s">
        <v>35</v>
      </c>
      <c r="AC15" s="247"/>
      <c r="AD15" s="80"/>
    </row>
    <row r="16" spans="2:30" x14ac:dyDescent="0.3">
      <c r="B16" s="182" t="s">
        <v>112</v>
      </c>
      <c r="C16" s="186" t="s">
        <v>111</v>
      </c>
      <c r="D16" s="3">
        <v>0</v>
      </c>
      <c r="E16" s="17" t="str">
        <f t="shared" si="4"/>
        <v>100,00</v>
      </c>
      <c r="F16" s="25">
        <f t="shared" si="5"/>
        <v>0</v>
      </c>
      <c r="G16" s="17">
        <f t="shared" si="6"/>
        <v>0</v>
      </c>
      <c r="H16" s="4">
        <v>0</v>
      </c>
      <c r="I16" s="93" t="s">
        <v>78</v>
      </c>
      <c r="J16" s="17" t="b">
        <f t="shared" si="7"/>
        <v>0</v>
      </c>
      <c r="K16" s="24">
        <f t="shared" si="8"/>
        <v>50</v>
      </c>
      <c r="L16" s="17">
        <f t="shared" si="9"/>
        <v>0</v>
      </c>
      <c r="M16" s="72">
        <f t="shared" si="1"/>
        <v>0</v>
      </c>
      <c r="N16" s="2">
        <v>16</v>
      </c>
      <c r="O16" s="71" t="str">
        <f t="shared" si="10"/>
        <v>12</v>
      </c>
      <c r="P16" s="59">
        <f t="shared" si="15"/>
        <v>7.5</v>
      </c>
      <c r="Q16" s="5">
        <v>0</v>
      </c>
      <c r="R16" s="17">
        <f t="shared" si="11"/>
        <v>0</v>
      </c>
      <c r="S16" s="18">
        <f t="shared" si="16"/>
        <v>0</v>
      </c>
      <c r="T16" s="17">
        <f t="shared" si="2"/>
        <v>7.5</v>
      </c>
      <c r="U16" s="17" t="str">
        <f t="shared" si="12"/>
        <v>-</v>
      </c>
      <c r="V16" s="17">
        <f t="shared" si="13"/>
        <v>0</v>
      </c>
      <c r="W16" s="19" t="str">
        <f t="shared" si="14"/>
        <v>Velocidade OK</v>
      </c>
      <c r="X16" s="172" t="str">
        <f t="shared" si="3"/>
        <v>-</v>
      </c>
      <c r="Z16" s="242"/>
      <c r="AA16" s="243"/>
      <c r="AB16" s="248"/>
      <c r="AC16" s="249"/>
    </row>
    <row r="17" spans="2:33" ht="15" thickBot="1" x14ac:dyDescent="0.35">
      <c r="B17" s="182" t="s">
        <v>111</v>
      </c>
      <c r="C17" s="186" t="s">
        <v>113</v>
      </c>
      <c r="D17" s="3">
        <v>0</v>
      </c>
      <c r="E17" s="17" t="str">
        <f t="shared" si="4"/>
        <v>100,00</v>
      </c>
      <c r="F17" s="25">
        <f t="shared" si="5"/>
        <v>0</v>
      </c>
      <c r="G17" s="17">
        <f t="shared" si="6"/>
        <v>0</v>
      </c>
      <c r="H17" s="4">
        <v>0</v>
      </c>
      <c r="I17" s="93" t="s">
        <v>78</v>
      </c>
      <c r="J17" s="17" t="b">
        <f t="shared" si="7"/>
        <v>0</v>
      </c>
      <c r="K17" s="24">
        <f t="shared" si="8"/>
        <v>50</v>
      </c>
      <c r="L17" s="17">
        <f t="shared" si="9"/>
        <v>0</v>
      </c>
      <c r="M17" s="72">
        <f t="shared" si="1"/>
        <v>0</v>
      </c>
      <c r="N17" s="2">
        <v>16</v>
      </c>
      <c r="O17" s="71" t="str">
        <f t="shared" si="10"/>
        <v>12</v>
      </c>
      <c r="P17" s="59">
        <f t="shared" si="15"/>
        <v>7.5</v>
      </c>
      <c r="Q17" s="5">
        <v>0</v>
      </c>
      <c r="R17" s="17">
        <f t="shared" si="11"/>
        <v>0</v>
      </c>
      <c r="S17" s="18">
        <f t="shared" si="16"/>
        <v>0</v>
      </c>
      <c r="T17" s="17">
        <f t="shared" si="2"/>
        <v>7.5</v>
      </c>
      <c r="U17" s="17" t="str">
        <f t="shared" si="12"/>
        <v>-</v>
      </c>
      <c r="V17" s="17">
        <f t="shared" si="13"/>
        <v>0</v>
      </c>
      <c r="W17" s="19" t="str">
        <f t="shared" si="14"/>
        <v>Velocidade OK</v>
      </c>
      <c r="X17" s="172" t="str">
        <f t="shared" si="3"/>
        <v>-</v>
      </c>
      <c r="Z17" s="244"/>
      <c r="AA17" s="245"/>
      <c r="AB17" s="250"/>
      <c r="AC17" s="251"/>
    </row>
    <row r="18" spans="2:33" ht="15" thickBot="1" x14ac:dyDescent="0.35">
      <c r="B18" s="182" t="s">
        <v>113</v>
      </c>
      <c r="C18" s="186" t="s">
        <v>114</v>
      </c>
      <c r="D18" s="3">
        <v>0</v>
      </c>
      <c r="E18" s="17" t="str">
        <f t="shared" si="4"/>
        <v>100,00</v>
      </c>
      <c r="F18" s="25">
        <f t="shared" si="5"/>
        <v>0</v>
      </c>
      <c r="G18" s="17">
        <f t="shared" si="6"/>
        <v>0</v>
      </c>
      <c r="H18" s="4">
        <v>0</v>
      </c>
      <c r="I18" s="93" t="s">
        <v>78</v>
      </c>
      <c r="J18" s="17" t="b">
        <f t="shared" si="7"/>
        <v>0</v>
      </c>
      <c r="K18" s="24">
        <f t="shared" si="8"/>
        <v>50</v>
      </c>
      <c r="L18" s="17">
        <f t="shared" si="9"/>
        <v>0</v>
      </c>
      <c r="M18" s="72">
        <f t="shared" si="1"/>
        <v>0</v>
      </c>
      <c r="N18" s="2">
        <v>16</v>
      </c>
      <c r="O18" s="71" t="str">
        <f t="shared" si="10"/>
        <v>12</v>
      </c>
      <c r="P18" s="59">
        <f t="shared" si="15"/>
        <v>7.5</v>
      </c>
      <c r="Q18" s="5">
        <v>0</v>
      </c>
      <c r="R18" s="17">
        <f t="shared" si="11"/>
        <v>0</v>
      </c>
      <c r="S18" s="18">
        <f t="shared" si="16"/>
        <v>0</v>
      </c>
      <c r="T18" s="17">
        <f t="shared" si="2"/>
        <v>7.5</v>
      </c>
      <c r="U18" s="17" t="str">
        <f t="shared" si="12"/>
        <v>-</v>
      </c>
      <c r="V18" s="17">
        <f t="shared" si="13"/>
        <v>0</v>
      </c>
      <c r="W18" s="19" t="str">
        <f t="shared" si="14"/>
        <v>Velocidade OK</v>
      </c>
      <c r="X18" s="172" t="str">
        <f t="shared" si="3"/>
        <v>-</v>
      </c>
    </row>
    <row r="19" spans="2:33" ht="15" customHeight="1" x14ac:dyDescent="0.3">
      <c r="B19" s="182" t="s">
        <v>114</v>
      </c>
      <c r="C19" s="186" t="s">
        <v>115</v>
      </c>
      <c r="D19" s="3">
        <v>0</v>
      </c>
      <c r="E19" s="17" t="str">
        <f t="shared" si="4"/>
        <v>100,00</v>
      </c>
      <c r="F19" s="25">
        <f t="shared" si="5"/>
        <v>0</v>
      </c>
      <c r="G19" s="17">
        <f t="shared" si="6"/>
        <v>0</v>
      </c>
      <c r="H19" s="4">
        <v>0</v>
      </c>
      <c r="I19" s="93" t="s">
        <v>78</v>
      </c>
      <c r="J19" s="17" t="b">
        <f t="shared" si="7"/>
        <v>0</v>
      </c>
      <c r="K19" s="24">
        <f t="shared" si="8"/>
        <v>50</v>
      </c>
      <c r="L19" s="17">
        <f t="shared" si="9"/>
        <v>0</v>
      </c>
      <c r="M19" s="72">
        <f t="shared" si="1"/>
        <v>0</v>
      </c>
      <c r="N19" s="2">
        <v>16</v>
      </c>
      <c r="O19" s="71" t="str">
        <f t="shared" si="10"/>
        <v>12</v>
      </c>
      <c r="P19" s="59">
        <f t="shared" si="15"/>
        <v>7.5</v>
      </c>
      <c r="Q19" s="5">
        <v>0</v>
      </c>
      <c r="R19" s="17">
        <f t="shared" si="11"/>
        <v>0</v>
      </c>
      <c r="S19" s="18">
        <f t="shared" si="16"/>
        <v>0</v>
      </c>
      <c r="T19" s="17">
        <f t="shared" si="2"/>
        <v>7.5</v>
      </c>
      <c r="U19" s="17" t="str">
        <f t="shared" si="12"/>
        <v>-</v>
      </c>
      <c r="V19" s="17">
        <f t="shared" si="13"/>
        <v>0</v>
      </c>
      <c r="W19" s="19" t="str">
        <f t="shared" si="14"/>
        <v>Velocidade OK</v>
      </c>
      <c r="X19" s="172" t="str">
        <f t="shared" si="3"/>
        <v>-</v>
      </c>
      <c r="Z19" s="240"/>
      <c r="AA19" s="241"/>
      <c r="AB19" s="246" t="s">
        <v>36</v>
      </c>
      <c r="AC19" s="247"/>
    </row>
    <row r="20" spans="2:33" x14ac:dyDescent="0.3">
      <c r="B20" s="182" t="s">
        <v>115</v>
      </c>
      <c r="C20" s="186" t="s">
        <v>116</v>
      </c>
      <c r="D20" s="3">
        <v>0</v>
      </c>
      <c r="E20" s="17" t="str">
        <f t="shared" si="4"/>
        <v>100,00</v>
      </c>
      <c r="F20" s="25">
        <f t="shared" si="5"/>
        <v>0</v>
      </c>
      <c r="G20" s="17">
        <f t="shared" si="6"/>
        <v>0</v>
      </c>
      <c r="H20" s="4">
        <v>0</v>
      </c>
      <c r="I20" s="93" t="s">
        <v>78</v>
      </c>
      <c r="J20" s="17" t="b">
        <f t="shared" si="7"/>
        <v>0</v>
      </c>
      <c r="K20" s="24">
        <f t="shared" si="8"/>
        <v>50</v>
      </c>
      <c r="L20" s="17">
        <f t="shared" si="9"/>
        <v>0</v>
      </c>
      <c r="M20" s="72">
        <f t="shared" si="1"/>
        <v>0</v>
      </c>
      <c r="N20" s="2">
        <v>16</v>
      </c>
      <c r="O20" s="71" t="str">
        <f t="shared" si="10"/>
        <v>12</v>
      </c>
      <c r="P20" s="59">
        <f t="shared" si="15"/>
        <v>7.5</v>
      </c>
      <c r="Q20" s="5">
        <v>0</v>
      </c>
      <c r="R20" s="17">
        <f t="shared" si="11"/>
        <v>0</v>
      </c>
      <c r="S20" s="18">
        <f t="shared" si="16"/>
        <v>0</v>
      </c>
      <c r="T20" s="17">
        <f t="shared" si="2"/>
        <v>7.5</v>
      </c>
      <c r="U20" s="17" t="str">
        <f t="shared" si="12"/>
        <v>-</v>
      </c>
      <c r="V20" s="17">
        <f t="shared" si="13"/>
        <v>0</v>
      </c>
      <c r="W20" s="19" t="str">
        <f t="shared" si="14"/>
        <v>Velocidade OK</v>
      </c>
      <c r="X20" s="172" t="str">
        <f t="shared" si="3"/>
        <v>-</v>
      </c>
      <c r="Z20" s="242"/>
      <c r="AA20" s="243"/>
      <c r="AB20" s="248"/>
      <c r="AC20" s="249"/>
    </row>
    <row r="21" spans="2:33" ht="15" thickBot="1" x14ac:dyDescent="0.35">
      <c r="B21" s="182" t="s">
        <v>116</v>
      </c>
      <c r="C21" s="186" t="s">
        <v>122</v>
      </c>
      <c r="D21" s="3">
        <v>0</v>
      </c>
      <c r="E21" s="17" t="str">
        <f t="shared" si="4"/>
        <v>100,00</v>
      </c>
      <c r="F21" s="25">
        <f t="shared" si="5"/>
        <v>0</v>
      </c>
      <c r="G21" s="17">
        <f t="shared" si="6"/>
        <v>0</v>
      </c>
      <c r="H21" s="4">
        <v>0</v>
      </c>
      <c r="I21" s="93" t="s">
        <v>78</v>
      </c>
      <c r="J21" s="17" t="b">
        <f t="shared" si="7"/>
        <v>0</v>
      </c>
      <c r="K21" s="24">
        <f t="shared" si="8"/>
        <v>50</v>
      </c>
      <c r="L21" s="17">
        <f t="shared" si="9"/>
        <v>0</v>
      </c>
      <c r="M21" s="72">
        <f t="shared" si="1"/>
        <v>0</v>
      </c>
      <c r="N21" s="2">
        <v>16</v>
      </c>
      <c r="O21" s="71" t="str">
        <f t="shared" si="10"/>
        <v>12</v>
      </c>
      <c r="P21" s="59">
        <f t="shared" si="15"/>
        <v>7.5</v>
      </c>
      <c r="Q21" s="5">
        <v>0</v>
      </c>
      <c r="R21" s="17">
        <f t="shared" si="11"/>
        <v>0</v>
      </c>
      <c r="S21" s="18">
        <f t="shared" si="16"/>
        <v>0</v>
      </c>
      <c r="T21" s="17">
        <f t="shared" si="2"/>
        <v>7.5</v>
      </c>
      <c r="U21" s="17" t="str">
        <f t="shared" si="12"/>
        <v>-</v>
      </c>
      <c r="V21" s="17">
        <f t="shared" si="13"/>
        <v>0</v>
      </c>
      <c r="W21" s="19" t="str">
        <f t="shared" si="14"/>
        <v>Velocidade OK</v>
      </c>
      <c r="X21" s="172" t="str">
        <f t="shared" si="3"/>
        <v>-</v>
      </c>
      <c r="Z21" s="244"/>
      <c r="AA21" s="245"/>
      <c r="AB21" s="250"/>
      <c r="AC21" s="251"/>
    </row>
    <row r="22" spans="2:33" ht="15" thickBot="1" x14ac:dyDescent="0.35">
      <c r="B22" s="182" t="s">
        <v>122</v>
      </c>
      <c r="C22" s="186" t="s">
        <v>123</v>
      </c>
      <c r="D22" s="3">
        <v>0</v>
      </c>
      <c r="E22" s="17" t="str">
        <f t="shared" si="4"/>
        <v>100,00</v>
      </c>
      <c r="F22" s="25">
        <f t="shared" si="5"/>
        <v>0</v>
      </c>
      <c r="G22" s="17">
        <f t="shared" si="6"/>
        <v>0</v>
      </c>
      <c r="H22" s="4">
        <v>0</v>
      </c>
      <c r="I22" s="93" t="s">
        <v>78</v>
      </c>
      <c r="J22" s="17" t="b">
        <f t="shared" si="7"/>
        <v>0</v>
      </c>
      <c r="K22" s="24">
        <f t="shared" si="8"/>
        <v>50</v>
      </c>
      <c r="L22" s="17">
        <f t="shared" si="9"/>
        <v>0</v>
      </c>
      <c r="M22" s="72">
        <f t="shared" si="1"/>
        <v>0</v>
      </c>
      <c r="N22" s="2">
        <v>16</v>
      </c>
      <c r="O22" s="71" t="str">
        <f t="shared" si="10"/>
        <v>12</v>
      </c>
      <c r="P22" s="59">
        <f t="shared" si="15"/>
        <v>7.5</v>
      </c>
      <c r="Q22" s="5">
        <v>0</v>
      </c>
      <c r="R22" s="17">
        <f t="shared" si="11"/>
        <v>0</v>
      </c>
      <c r="S22" s="18">
        <f t="shared" si="16"/>
        <v>0</v>
      </c>
      <c r="T22" s="17">
        <f t="shared" si="2"/>
        <v>7.5</v>
      </c>
      <c r="U22" s="17" t="str">
        <f t="shared" si="12"/>
        <v>-</v>
      </c>
      <c r="V22" s="17">
        <f t="shared" si="13"/>
        <v>0</v>
      </c>
      <c r="W22" s="19" t="str">
        <f t="shared" si="14"/>
        <v>Velocidade OK</v>
      </c>
      <c r="X22" s="172" t="str">
        <f t="shared" si="3"/>
        <v>-</v>
      </c>
    </row>
    <row r="23" spans="2:33" ht="15" customHeight="1" x14ac:dyDescent="0.3">
      <c r="B23" s="182" t="s">
        <v>123</v>
      </c>
      <c r="C23" s="186" t="s">
        <v>124</v>
      </c>
      <c r="D23" s="3">
        <v>0</v>
      </c>
      <c r="E23" s="17" t="str">
        <f t="shared" si="4"/>
        <v>100,00</v>
      </c>
      <c r="F23" s="25">
        <f t="shared" si="5"/>
        <v>0</v>
      </c>
      <c r="G23" s="17">
        <f t="shared" si="6"/>
        <v>0</v>
      </c>
      <c r="H23" s="4">
        <v>0</v>
      </c>
      <c r="I23" s="93" t="s">
        <v>78</v>
      </c>
      <c r="J23" s="17" t="b">
        <f t="shared" si="7"/>
        <v>0</v>
      </c>
      <c r="K23" s="24">
        <f t="shared" si="8"/>
        <v>50</v>
      </c>
      <c r="L23" s="17">
        <f t="shared" si="9"/>
        <v>0</v>
      </c>
      <c r="M23" s="72">
        <f t="shared" si="1"/>
        <v>0</v>
      </c>
      <c r="N23" s="2">
        <v>16</v>
      </c>
      <c r="O23" s="71" t="str">
        <f t="shared" si="10"/>
        <v>12</v>
      </c>
      <c r="P23" s="59">
        <f t="shared" si="15"/>
        <v>7.5</v>
      </c>
      <c r="Q23" s="5">
        <v>0</v>
      </c>
      <c r="R23" s="17">
        <f t="shared" si="11"/>
        <v>0</v>
      </c>
      <c r="S23" s="18">
        <f t="shared" si="16"/>
        <v>0</v>
      </c>
      <c r="T23" s="17">
        <f t="shared" si="2"/>
        <v>7.5</v>
      </c>
      <c r="U23" s="17" t="str">
        <f t="shared" si="12"/>
        <v>-</v>
      </c>
      <c r="V23" s="17">
        <f t="shared" si="13"/>
        <v>0</v>
      </c>
      <c r="W23" s="19" t="str">
        <f t="shared" si="14"/>
        <v>Velocidade OK</v>
      </c>
      <c r="X23" s="172" t="str">
        <f t="shared" si="3"/>
        <v>-</v>
      </c>
      <c r="Z23" s="240"/>
      <c r="AA23" s="241"/>
      <c r="AB23" s="246" t="s">
        <v>37</v>
      </c>
      <c r="AC23" s="247"/>
    </row>
    <row r="24" spans="2:33" x14ac:dyDescent="0.3">
      <c r="B24" s="182" t="s">
        <v>124</v>
      </c>
      <c r="C24" s="186" t="s">
        <v>125</v>
      </c>
      <c r="D24" s="3">
        <v>0</v>
      </c>
      <c r="E24" s="17" t="str">
        <f t="shared" si="4"/>
        <v>100,00</v>
      </c>
      <c r="F24" s="25">
        <f t="shared" si="5"/>
        <v>0</v>
      </c>
      <c r="G24" s="17">
        <f t="shared" si="6"/>
        <v>0</v>
      </c>
      <c r="H24" s="4">
        <v>0</v>
      </c>
      <c r="I24" s="93" t="s">
        <v>78</v>
      </c>
      <c r="J24" s="17" t="b">
        <f t="shared" si="7"/>
        <v>0</v>
      </c>
      <c r="K24" s="24">
        <f t="shared" si="8"/>
        <v>50</v>
      </c>
      <c r="L24" s="17">
        <f t="shared" si="9"/>
        <v>0</v>
      </c>
      <c r="M24" s="72">
        <f t="shared" si="1"/>
        <v>0</v>
      </c>
      <c r="N24" s="2">
        <v>16</v>
      </c>
      <c r="O24" s="71" t="str">
        <f t="shared" si="10"/>
        <v>12</v>
      </c>
      <c r="P24" s="59">
        <f t="shared" si="15"/>
        <v>7.5</v>
      </c>
      <c r="Q24" s="5">
        <v>0</v>
      </c>
      <c r="R24" s="17">
        <f t="shared" si="11"/>
        <v>0</v>
      </c>
      <c r="S24" s="18">
        <f t="shared" si="16"/>
        <v>0</v>
      </c>
      <c r="T24" s="17">
        <f t="shared" si="2"/>
        <v>7.5</v>
      </c>
      <c r="U24" s="17" t="str">
        <f t="shared" si="12"/>
        <v>-</v>
      </c>
      <c r="V24" s="17">
        <f t="shared" si="13"/>
        <v>0</v>
      </c>
      <c r="W24" s="19" t="str">
        <f t="shared" si="14"/>
        <v>Velocidade OK</v>
      </c>
      <c r="X24" s="172" t="str">
        <f t="shared" si="3"/>
        <v>-</v>
      </c>
      <c r="Z24" s="242"/>
      <c r="AA24" s="243"/>
      <c r="AB24" s="248"/>
      <c r="AC24" s="249"/>
    </row>
    <row r="25" spans="2:33" ht="15" thickBot="1" x14ac:dyDescent="0.35">
      <c r="B25" s="182" t="s">
        <v>125</v>
      </c>
      <c r="C25" s="186" t="s">
        <v>126</v>
      </c>
      <c r="D25" s="3">
        <v>0</v>
      </c>
      <c r="E25" s="17" t="str">
        <f t="shared" si="4"/>
        <v>100,00</v>
      </c>
      <c r="F25" s="25">
        <f t="shared" si="5"/>
        <v>0</v>
      </c>
      <c r="G25" s="17">
        <f t="shared" si="6"/>
        <v>0</v>
      </c>
      <c r="H25" s="4">
        <v>0</v>
      </c>
      <c r="I25" s="93" t="s">
        <v>78</v>
      </c>
      <c r="J25" s="17" t="b">
        <f t="shared" si="7"/>
        <v>0</v>
      </c>
      <c r="K25" s="24">
        <f t="shared" si="8"/>
        <v>50</v>
      </c>
      <c r="L25" s="17">
        <f t="shared" si="9"/>
        <v>0</v>
      </c>
      <c r="M25" s="72">
        <f t="shared" si="1"/>
        <v>0</v>
      </c>
      <c r="N25" s="2">
        <v>16</v>
      </c>
      <c r="O25" s="71" t="str">
        <f t="shared" si="10"/>
        <v>12</v>
      </c>
      <c r="P25" s="59">
        <f t="shared" si="15"/>
        <v>7.5</v>
      </c>
      <c r="Q25" s="5">
        <v>0</v>
      </c>
      <c r="R25" s="17">
        <f t="shared" si="11"/>
        <v>0</v>
      </c>
      <c r="S25" s="18">
        <f t="shared" si="16"/>
        <v>0</v>
      </c>
      <c r="T25" s="17">
        <f t="shared" si="2"/>
        <v>7.5</v>
      </c>
      <c r="U25" s="17" t="str">
        <f t="shared" si="12"/>
        <v>-</v>
      </c>
      <c r="V25" s="17">
        <f t="shared" si="13"/>
        <v>0</v>
      </c>
      <c r="W25" s="19" t="str">
        <f t="shared" si="14"/>
        <v>Velocidade OK</v>
      </c>
      <c r="X25" s="172" t="str">
        <f t="shared" si="3"/>
        <v>-</v>
      </c>
      <c r="Z25" s="244"/>
      <c r="AA25" s="245"/>
      <c r="AB25" s="250"/>
      <c r="AC25" s="251"/>
    </row>
    <row r="26" spans="2:33" ht="15" thickBot="1" x14ac:dyDescent="0.35">
      <c r="B26" s="183" t="s">
        <v>126</v>
      </c>
      <c r="C26" s="187" t="s">
        <v>127</v>
      </c>
      <c r="D26" s="3">
        <v>0</v>
      </c>
      <c r="E26" s="17" t="str">
        <f t="shared" si="4"/>
        <v>100,00</v>
      </c>
      <c r="F26" s="25">
        <f t="shared" si="5"/>
        <v>0</v>
      </c>
      <c r="G26" s="17">
        <f t="shared" si="6"/>
        <v>0</v>
      </c>
      <c r="H26" s="4">
        <v>0</v>
      </c>
      <c r="I26" s="93" t="s">
        <v>78</v>
      </c>
      <c r="J26" s="17" t="b">
        <f t="shared" si="7"/>
        <v>0</v>
      </c>
      <c r="K26" s="24">
        <f t="shared" si="8"/>
        <v>50</v>
      </c>
      <c r="L26" s="17">
        <f t="shared" si="9"/>
        <v>0</v>
      </c>
      <c r="M26" s="72">
        <f t="shared" si="1"/>
        <v>0</v>
      </c>
      <c r="N26" s="2">
        <v>16</v>
      </c>
      <c r="O26" s="71" t="str">
        <f t="shared" si="10"/>
        <v>12</v>
      </c>
      <c r="P26" s="59">
        <f t="shared" si="15"/>
        <v>7.5</v>
      </c>
      <c r="Q26" s="5">
        <v>0</v>
      </c>
      <c r="R26" s="17">
        <f t="shared" si="11"/>
        <v>0</v>
      </c>
      <c r="S26" s="18">
        <f t="shared" si="16"/>
        <v>0</v>
      </c>
      <c r="T26" s="17">
        <f t="shared" si="2"/>
        <v>7.5</v>
      </c>
      <c r="U26" s="17" t="str">
        <f t="shared" si="12"/>
        <v>-</v>
      </c>
      <c r="V26" s="17">
        <f t="shared" si="13"/>
        <v>0</v>
      </c>
      <c r="W26" s="19" t="str">
        <f t="shared" si="14"/>
        <v>Velocidade OK</v>
      </c>
      <c r="X26" s="172" t="str">
        <f t="shared" si="3"/>
        <v>-</v>
      </c>
    </row>
    <row r="27" spans="2:33" ht="15" customHeight="1" x14ac:dyDescent="0.3">
      <c r="B27" s="183" t="s">
        <v>127</v>
      </c>
      <c r="C27" s="187" t="s">
        <v>128</v>
      </c>
      <c r="D27" s="3">
        <v>0</v>
      </c>
      <c r="E27" s="17" t="str">
        <f t="shared" si="4"/>
        <v>100,00</v>
      </c>
      <c r="F27" s="25">
        <f t="shared" si="5"/>
        <v>0</v>
      </c>
      <c r="G27" s="17">
        <f t="shared" si="6"/>
        <v>0</v>
      </c>
      <c r="H27" s="4">
        <v>0</v>
      </c>
      <c r="I27" s="93" t="s">
        <v>78</v>
      </c>
      <c r="J27" s="17" t="b">
        <f t="shared" si="7"/>
        <v>0</v>
      </c>
      <c r="K27" s="24">
        <f t="shared" si="8"/>
        <v>50</v>
      </c>
      <c r="L27" s="17">
        <f t="shared" si="9"/>
        <v>0</v>
      </c>
      <c r="M27" s="72">
        <f t="shared" si="1"/>
        <v>0</v>
      </c>
      <c r="N27" s="2">
        <v>16</v>
      </c>
      <c r="O27" s="71" t="str">
        <f t="shared" si="10"/>
        <v>12</v>
      </c>
      <c r="P27" s="59">
        <f t="shared" si="15"/>
        <v>7.5</v>
      </c>
      <c r="Q27" s="5">
        <v>0</v>
      </c>
      <c r="R27" s="17">
        <f t="shared" si="11"/>
        <v>0</v>
      </c>
      <c r="S27" s="18">
        <f t="shared" si="16"/>
        <v>0</v>
      </c>
      <c r="T27" s="17">
        <f t="shared" si="2"/>
        <v>7.5</v>
      </c>
      <c r="U27" s="17" t="str">
        <f t="shared" si="12"/>
        <v>-</v>
      </c>
      <c r="V27" s="17">
        <f t="shared" si="13"/>
        <v>0</v>
      </c>
      <c r="W27" s="19" t="str">
        <f t="shared" si="14"/>
        <v>Velocidade OK</v>
      </c>
      <c r="X27" s="172" t="str">
        <f t="shared" si="3"/>
        <v>-</v>
      </c>
      <c r="Z27" s="240"/>
      <c r="AA27" s="241"/>
      <c r="AB27" s="246" t="s">
        <v>39</v>
      </c>
      <c r="AC27" s="247"/>
    </row>
    <row r="28" spans="2:33" ht="15" customHeight="1" x14ac:dyDescent="0.3">
      <c r="B28" s="183" t="s">
        <v>128</v>
      </c>
      <c r="C28" s="187" t="s">
        <v>117</v>
      </c>
      <c r="D28" s="3">
        <v>0</v>
      </c>
      <c r="E28" s="17" t="str">
        <f t="shared" si="4"/>
        <v>100,00</v>
      </c>
      <c r="F28" s="25">
        <f t="shared" si="5"/>
        <v>0</v>
      </c>
      <c r="G28" s="17">
        <f t="shared" si="6"/>
        <v>0</v>
      </c>
      <c r="H28" s="4">
        <v>0</v>
      </c>
      <c r="I28" s="93" t="s">
        <v>78</v>
      </c>
      <c r="J28" s="17" t="b">
        <f t="shared" si="7"/>
        <v>0</v>
      </c>
      <c r="K28" s="24">
        <f t="shared" si="8"/>
        <v>50</v>
      </c>
      <c r="L28" s="17">
        <f t="shared" si="9"/>
        <v>0</v>
      </c>
      <c r="M28" s="72">
        <f t="shared" si="1"/>
        <v>0</v>
      </c>
      <c r="N28" s="2">
        <v>16</v>
      </c>
      <c r="O28" s="22" t="str">
        <f t="shared" si="10"/>
        <v>12</v>
      </c>
      <c r="P28" s="59">
        <f t="shared" si="15"/>
        <v>7.5</v>
      </c>
      <c r="Q28" s="5">
        <v>0</v>
      </c>
      <c r="R28" s="17">
        <f t="shared" si="11"/>
        <v>0</v>
      </c>
      <c r="S28" s="18">
        <f t="shared" si="16"/>
        <v>0</v>
      </c>
      <c r="T28" s="17">
        <f t="shared" si="2"/>
        <v>7.5</v>
      </c>
      <c r="U28" s="17" t="str">
        <f t="shared" si="12"/>
        <v>-</v>
      </c>
      <c r="V28" s="17">
        <f t="shared" si="13"/>
        <v>0</v>
      </c>
      <c r="W28" s="19" t="str">
        <f t="shared" si="14"/>
        <v>Velocidade OK</v>
      </c>
      <c r="X28" s="172" t="str">
        <f t="shared" si="3"/>
        <v>-</v>
      </c>
      <c r="Z28" s="242"/>
      <c r="AA28" s="243"/>
      <c r="AB28" s="248"/>
      <c r="AC28" s="249"/>
    </row>
    <row r="29" spans="2:33" ht="15.75" customHeight="1" thickBot="1" x14ac:dyDescent="0.35">
      <c r="B29" s="183" t="s">
        <v>117</v>
      </c>
      <c r="C29" s="187" t="s">
        <v>130</v>
      </c>
      <c r="D29" s="3">
        <v>0</v>
      </c>
      <c r="E29" s="17" t="str">
        <f t="shared" si="4"/>
        <v>100,00</v>
      </c>
      <c r="F29" s="25">
        <f t="shared" si="5"/>
        <v>0</v>
      </c>
      <c r="G29" s="17">
        <f t="shared" si="6"/>
        <v>0</v>
      </c>
      <c r="H29" s="4">
        <v>0</v>
      </c>
      <c r="I29" s="93" t="s">
        <v>78</v>
      </c>
      <c r="J29" s="17" t="b">
        <f t="shared" si="7"/>
        <v>0</v>
      </c>
      <c r="K29" s="24">
        <f t="shared" si="8"/>
        <v>50</v>
      </c>
      <c r="L29" s="17">
        <f t="shared" si="9"/>
        <v>0</v>
      </c>
      <c r="M29" s="72">
        <f t="shared" si="1"/>
        <v>0</v>
      </c>
      <c r="N29" s="2">
        <v>16</v>
      </c>
      <c r="O29" s="22" t="str">
        <f t="shared" si="10"/>
        <v>12</v>
      </c>
      <c r="P29" s="59">
        <f t="shared" si="15"/>
        <v>7.5</v>
      </c>
      <c r="Q29" s="5">
        <v>0</v>
      </c>
      <c r="R29" s="17">
        <f t="shared" si="11"/>
        <v>0</v>
      </c>
      <c r="S29" s="18">
        <f t="shared" si="16"/>
        <v>0</v>
      </c>
      <c r="T29" s="17">
        <f t="shared" si="2"/>
        <v>7.5</v>
      </c>
      <c r="U29" s="17" t="str">
        <f t="shared" si="12"/>
        <v>-</v>
      </c>
      <c r="V29" s="17">
        <f t="shared" si="13"/>
        <v>0</v>
      </c>
      <c r="W29" s="19" t="str">
        <f t="shared" si="14"/>
        <v>Velocidade OK</v>
      </c>
      <c r="X29" s="172" t="str">
        <f t="shared" si="3"/>
        <v>-</v>
      </c>
      <c r="Z29" s="244"/>
      <c r="AA29" s="245"/>
      <c r="AB29" s="250"/>
      <c r="AC29" s="251"/>
    </row>
    <row r="30" spans="2:33" ht="15" thickBot="1" x14ac:dyDescent="0.35">
      <c r="B30" s="183" t="s">
        <v>130</v>
      </c>
      <c r="C30" s="187" t="s">
        <v>106</v>
      </c>
      <c r="D30" s="3">
        <v>0</v>
      </c>
      <c r="E30" s="17" t="str">
        <f t="shared" si="4"/>
        <v>100,00</v>
      </c>
      <c r="F30" s="25">
        <f t="shared" si="5"/>
        <v>0</v>
      </c>
      <c r="G30" s="17">
        <f t="shared" si="6"/>
        <v>0</v>
      </c>
      <c r="H30" s="4">
        <v>0</v>
      </c>
      <c r="I30" s="93" t="s">
        <v>78</v>
      </c>
      <c r="J30" s="17" t="b">
        <f t="shared" si="7"/>
        <v>0</v>
      </c>
      <c r="K30" s="24">
        <f t="shared" si="8"/>
        <v>50</v>
      </c>
      <c r="L30" s="17">
        <f t="shared" si="9"/>
        <v>0</v>
      </c>
      <c r="M30" s="72">
        <f t="shared" si="1"/>
        <v>0</v>
      </c>
      <c r="N30" s="2">
        <v>16</v>
      </c>
      <c r="O30" s="71" t="str">
        <f t="shared" si="10"/>
        <v>12</v>
      </c>
      <c r="P30" s="59">
        <f t="shared" si="15"/>
        <v>7.5</v>
      </c>
      <c r="Q30" s="5">
        <v>0</v>
      </c>
      <c r="R30" s="17">
        <f t="shared" si="11"/>
        <v>0</v>
      </c>
      <c r="S30" s="18">
        <f t="shared" si="16"/>
        <v>0</v>
      </c>
      <c r="T30" s="17">
        <f t="shared" si="2"/>
        <v>7.5</v>
      </c>
      <c r="U30" s="17" t="str">
        <f t="shared" si="12"/>
        <v>-</v>
      </c>
      <c r="V30" s="17">
        <f t="shared" si="13"/>
        <v>0</v>
      </c>
      <c r="W30" s="19" t="str">
        <f t="shared" si="14"/>
        <v>Velocidade OK</v>
      </c>
      <c r="X30" s="172" t="str">
        <f t="shared" si="3"/>
        <v>-</v>
      </c>
    </row>
    <row r="31" spans="2:33" ht="15" customHeight="1" x14ac:dyDescent="0.3">
      <c r="B31" s="183" t="s">
        <v>106</v>
      </c>
      <c r="C31" s="187" t="s">
        <v>118</v>
      </c>
      <c r="D31" s="3">
        <v>0</v>
      </c>
      <c r="E31" s="17" t="str">
        <f t="shared" si="4"/>
        <v>100,00</v>
      </c>
      <c r="F31" s="25">
        <f t="shared" si="5"/>
        <v>0</v>
      </c>
      <c r="G31" s="17">
        <f t="shared" si="6"/>
        <v>0</v>
      </c>
      <c r="H31" s="4">
        <v>0</v>
      </c>
      <c r="I31" s="93" t="s">
        <v>78</v>
      </c>
      <c r="J31" s="17" t="b">
        <f t="shared" si="7"/>
        <v>0</v>
      </c>
      <c r="K31" s="24">
        <f t="shared" si="8"/>
        <v>50</v>
      </c>
      <c r="L31" s="17">
        <f t="shared" si="9"/>
        <v>0</v>
      </c>
      <c r="M31" s="72">
        <f t="shared" si="1"/>
        <v>0</v>
      </c>
      <c r="N31" s="2">
        <v>16</v>
      </c>
      <c r="O31" s="71" t="str">
        <f t="shared" si="10"/>
        <v>12</v>
      </c>
      <c r="P31" s="59">
        <f t="shared" si="15"/>
        <v>7.5</v>
      </c>
      <c r="Q31" s="5">
        <v>0</v>
      </c>
      <c r="R31" s="17">
        <f t="shared" si="11"/>
        <v>0</v>
      </c>
      <c r="S31" s="18">
        <f t="shared" si="16"/>
        <v>0</v>
      </c>
      <c r="T31" s="17">
        <f t="shared" si="2"/>
        <v>7.5</v>
      </c>
      <c r="U31" s="17" t="str">
        <f t="shared" si="12"/>
        <v>-</v>
      </c>
      <c r="V31" s="17">
        <f t="shared" si="13"/>
        <v>0</v>
      </c>
      <c r="W31" s="19" t="str">
        <f t="shared" si="14"/>
        <v>Velocidade OK</v>
      </c>
      <c r="X31" s="172" t="str">
        <f t="shared" si="3"/>
        <v>-</v>
      </c>
      <c r="Z31" s="240"/>
      <c r="AA31" s="241"/>
      <c r="AB31" s="246" t="s">
        <v>38</v>
      </c>
      <c r="AC31" s="247"/>
      <c r="AD31" s="256"/>
      <c r="AE31" s="256"/>
      <c r="AF31" s="274"/>
      <c r="AG31" s="258"/>
    </row>
    <row r="32" spans="2:33" ht="15" customHeight="1" x14ac:dyDescent="0.3">
      <c r="B32" s="183" t="s">
        <v>118</v>
      </c>
      <c r="C32" s="187" t="s">
        <v>131</v>
      </c>
      <c r="D32" s="3">
        <v>0</v>
      </c>
      <c r="E32" s="17" t="str">
        <f t="shared" si="4"/>
        <v>100,00</v>
      </c>
      <c r="F32" s="25">
        <f t="shared" si="5"/>
        <v>0</v>
      </c>
      <c r="G32" s="17">
        <f t="shared" si="6"/>
        <v>0</v>
      </c>
      <c r="H32" s="4">
        <v>0</v>
      </c>
      <c r="I32" s="93" t="s">
        <v>78</v>
      </c>
      <c r="J32" s="17" t="b">
        <f t="shared" si="7"/>
        <v>0</v>
      </c>
      <c r="K32" s="24">
        <f t="shared" si="8"/>
        <v>50</v>
      </c>
      <c r="L32" s="17">
        <f t="shared" si="9"/>
        <v>0</v>
      </c>
      <c r="M32" s="72">
        <f t="shared" si="1"/>
        <v>0</v>
      </c>
      <c r="N32" s="2">
        <v>16</v>
      </c>
      <c r="O32" s="71" t="str">
        <f t="shared" si="10"/>
        <v>12</v>
      </c>
      <c r="P32" s="59">
        <f t="shared" si="15"/>
        <v>7.5</v>
      </c>
      <c r="Q32" s="5">
        <v>0</v>
      </c>
      <c r="R32" s="17">
        <f t="shared" si="11"/>
        <v>0</v>
      </c>
      <c r="S32" s="18">
        <f t="shared" si="16"/>
        <v>0</v>
      </c>
      <c r="T32" s="17">
        <f t="shared" si="2"/>
        <v>7.5</v>
      </c>
      <c r="U32" s="17" t="str">
        <f t="shared" si="12"/>
        <v>-</v>
      </c>
      <c r="V32" s="17">
        <f t="shared" si="13"/>
        <v>0</v>
      </c>
      <c r="W32" s="19" t="str">
        <f t="shared" si="14"/>
        <v>Velocidade OK</v>
      </c>
      <c r="X32" s="172" t="str">
        <f t="shared" si="3"/>
        <v>-</v>
      </c>
      <c r="Z32" s="242"/>
      <c r="AA32" s="243"/>
      <c r="AB32" s="248"/>
      <c r="AC32" s="249"/>
      <c r="AD32" s="256"/>
      <c r="AE32" s="256"/>
      <c r="AF32" s="258"/>
      <c r="AG32" s="258"/>
    </row>
    <row r="33" spans="2:33" ht="15.75" customHeight="1" thickBot="1" x14ac:dyDescent="0.35">
      <c r="B33" s="183" t="s">
        <v>131</v>
      </c>
      <c r="C33" s="187" t="s">
        <v>129</v>
      </c>
      <c r="D33" s="3">
        <v>0</v>
      </c>
      <c r="E33" s="17" t="str">
        <f t="shared" si="4"/>
        <v>100,00</v>
      </c>
      <c r="F33" s="25">
        <f t="shared" si="5"/>
        <v>0</v>
      </c>
      <c r="G33" s="17">
        <f t="shared" si="6"/>
        <v>0</v>
      </c>
      <c r="H33" s="4">
        <v>0</v>
      </c>
      <c r="I33" s="93" t="s">
        <v>78</v>
      </c>
      <c r="J33" s="17" t="b">
        <f t="shared" si="7"/>
        <v>0</v>
      </c>
      <c r="K33" s="24">
        <f t="shared" si="8"/>
        <v>50</v>
      </c>
      <c r="L33" s="17">
        <f t="shared" si="9"/>
        <v>0</v>
      </c>
      <c r="M33" s="72">
        <f t="shared" si="1"/>
        <v>0</v>
      </c>
      <c r="N33" s="2">
        <v>16</v>
      </c>
      <c r="O33" s="71" t="str">
        <f t="shared" si="10"/>
        <v>12</v>
      </c>
      <c r="P33" s="59">
        <f t="shared" si="15"/>
        <v>7.5</v>
      </c>
      <c r="Q33" s="5">
        <v>0</v>
      </c>
      <c r="R33" s="17">
        <f t="shared" si="11"/>
        <v>0</v>
      </c>
      <c r="S33" s="18">
        <f t="shared" si="16"/>
        <v>0</v>
      </c>
      <c r="T33" s="17">
        <f t="shared" si="2"/>
        <v>7.5</v>
      </c>
      <c r="U33" s="17" t="str">
        <f t="shared" si="12"/>
        <v>-</v>
      </c>
      <c r="V33" s="17">
        <f t="shared" si="13"/>
        <v>0</v>
      </c>
      <c r="W33" s="19" t="str">
        <f t="shared" si="14"/>
        <v>Velocidade OK</v>
      </c>
      <c r="X33" s="172" t="str">
        <f t="shared" si="3"/>
        <v>-</v>
      </c>
      <c r="Z33" s="244"/>
      <c r="AA33" s="245"/>
      <c r="AB33" s="250"/>
      <c r="AC33" s="251"/>
      <c r="AD33" s="256"/>
      <c r="AE33" s="256"/>
      <c r="AF33" s="258"/>
      <c r="AG33" s="258"/>
    </row>
    <row r="34" spans="2:33" ht="15" thickBot="1" x14ac:dyDescent="0.35">
      <c r="B34" s="183" t="s">
        <v>129</v>
      </c>
      <c r="C34" s="187" t="s">
        <v>132</v>
      </c>
      <c r="D34" s="3">
        <v>0</v>
      </c>
      <c r="E34" s="17" t="str">
        <f t="shared" si="4"/>
        <v>100,00</v>
      </c>
      <c r="F34" s="25">
        <f t="shared" si="5"/>
        <v>0</v>
      </c>
      <c r="G34" s="17">
        <f t="shared" si="6"/>
        <v>0</v>
      </c>
      <c r="H34" s="4">
        <v>0</v>
      </c>
      <c r="I34" s="93" t="s">
        <v>78</v>
      </c>
      <c r="J34" s="17" t="b">
        <f t="shared" si="7"/>
        <v>0</v>
      </c>
      <c r="K34" s="24">
        <f t="shared" si="8"/>
        <v>50</v>
      </c>
      <c r="L34" s="17">
        <f t="shared" si="9"/>
        <v>0</v>
      </c>
      <c r="M34" s="72">
        <f t="shared" si="1"/>
        <v>0</v>
      </c>
      <c r="N34" s="2">
        <v>16</v>
      </c>
      <c r="O34" s="71" t="str">
        <f t="shared" si="10"/>
        <v>12</v>
      </c>
      <c r="P34" s="59">
        <f t="shared" si="15"/>
        <v>7.5</v>
      </c>
      <c r="Q34" s="5">
        <v>0</v>
      </c>
      <c r="R34" s="17">
        <f t="shared" si="11"/>
        <v>0</v>
      </c>
      <c r="S34" s="18">
        <f t="shared" si="16"/>
        <v>0</v>
      </c>
      <c r="T34" s="17">
        <f t="shared" si="2"/>
        <v>7.5</v>
      </c>
      <c r="U34" s="17" t="str">
        <f t="shared" si="12"/>
        <v>-</v>
      </c>
      <c r="V34" s="17">
        <f t="shared" si="13"/>
        <v>0</v>
      </c>
      <c r="W34" s="19" t="str">
        <f t="shared" si="14"/>
        <v>Velocidade OK</v>
      </c>
      <c r="X34" s="172" t="str">
        <f t="shared" si="3"/>
        <v>-</v>
      </c>
    </row>
    <row r="35" spans="2:33" x14ac:dyDescent="0.3">
      <c r="B35" s="183" t="s">
        <v>132</v>
      </c>
      <c r="C35" s="187" t="s">
        <v>133</v>
      </c>
      <c r="D35" s="3">
        <v>0</v>
      </c>
      <c r="E35" s="17" t="str">
        <f t="shared" si="4"/>
        <v>100,00</v>
      </c>
      <c r="F35" s="25">
        <f t="shared" si="5"/>
        <v>0</v>
      </c>
      <c r="G35" s="17">
        <f t="shared" si="6"/>
        <v>0</v>
      </c>
      <c r="H35" s="4">
        <v>0</v>
      </c>
      <c r="I35" s="93" t="s">
        <v>78</v>
      </c>
      <c r="J35" s="17" t="b">
        <f t="shared" si="7"/>
        <v>0</v>
      </c>
      <c r="K35" s="24">
        <f t="shared" si="8"/>
        <v>50</v>
      </c>
      <c r="L35" s="17">
        <f t="shared" si="9"/>
        <v>0</v>
      </c>
      <c r="M35" s="72">
        <f t="shared" si="1"/>
        <v>0</v>
      </c>
      <c r="N35" s="2">
        <v>16</v>
      </c>
      <c r="O35" s="71" t="str">
        <f t="shared" si="10"/>
        <v>12</v>
      </c>
      <c r="P35" s="59">
        <f t="shared" si="15"/>
        <v>7.5</v>
      </c>
      <c r="Q35" s="5">
        <v>0</v>
      </c>
      <c r="R35" s="17">
        <f t="shared" si="11"/>
        <v>0</v>
      </c>
      <c r="S35" s="18">
        <f t="shared" si="16"/>
        <v>0</v>
      </c>
      <c r="T35" s="17">
        <f t="shared" si="2"/>
        <v>7.5</v>
      </c>
      <c r="U35" s="17" t="str">
        <f t="shared" si="12"/>
        <v>-</v>
      </c>
      <c r="V35" s="17">
        <f t="shared" si="13"/>
        <v>0</v>
      </c>
      <c r="W35" s="19" t="str">
        <f t="shared" si="14"/>
        <v>Velocidade OK</v>
      </c>
      <c r="X35" s="172" t="str">
        <f t="shared" si="3"/>
        <v>-</v>
      </c>
      <c r="Z35" s="240"/>
      <c r="AA35" s="241"/>
      <c r="AB35" s="246" t="s">
        <v>40</v>
      </c>
      <c r="AC35" s="247"/>
    </row>
    <row r="36" spans="2:33" x14ac:dyDescent="0.3">
      <c r="B36" s="183" t="s">
        <v>133</v>
      </c>
      <c r="C36" s="187" t="s">
        <v>134</v>
      </c>
      <c r="D36" s="3">
        <v>0</v>
      </c>
      <c r="E36" s="17" t="str">
        <f t="shared" si="4"/>
        <v>100,00</v>
      </c>
      <c r="F36" s="25">
        <f t="shared" si="5"/>
        <v>0</v>
      </c>
      <c r="G36" s="17">
        <f t="shared" si="6"/>
        <v>0</v>
      </c>
      <c r="H36" s="4">
        <v>0</v>
      </c>
      <c r="I36" s="93" t="s">
        <v>78</v>
      </c>
      <c r="J36" s="17" t="b">
        <f t="shared" si="7"/>
        <v>0</v>
      </c>
      <c r="K36" s="24">
        <f t="shared" si="8"/>
        <v>50</v>
      </c>
      <c r="L36" s="17">
        <f t="shared" si="9"/>
        <v>0</v>
      </c>
      <c r="M36" s="72">
        <f t="shared" si="1"/>
        <v>0</v>
      </c>
      <c r="N36" s="2">
        <v>16</v>
      </c>
      <c r="O36" s="71" t="str">
        <f t="shared" si="10"/>
        <v>12</v>
      </c>
      <c r="P36" s="59">
        <f t="shared" si="15"/>
        <v>7.5</v>
      </c>
      <c r="Q36" s="5">
        <v>0</v>
      </c>
      <c r="R36" s="17">
        <f t="shared" si="11"/>
        <v>0</v>
      </c>
      <c r="S36" s="18">
        <f t="shared" si="16"/>
        <v>0</v>
      </c>
      <c r="T36" s="17">
        <f t="shared" si="2"/>
        <v>7.5</v>
      </c>
      <c r="U36" s="17" t="str">
        <f t="shared" si="12"/>
        <v>-</v>
      </c>
      <c r="V36" s="17">
        <f t="shared" si="13"/>
        <v>0</v>
      </c>
      <c r="W36" s="19" t="str">
        <f t="shared" si="14"/>
        <v>Velocidade OK</v>
      </c>
      <c r="X36" s="172" t="str">
        <f t="shared" si="3"/>
        <v>-</v>
      </c>
      <c r="Z36" s="242"/>
      <c r="AA36" s="243"/>
      <c r="AB36" s="248"/>
      <c r="AC36" s="249"/>
    </row>
    <row r="37" spans="2:33" ht="15" thickBot="1" x14ac:dyDescent="0.35">
      <c r="B37" s="183" t="s">
        <v>134</v>
      </c>
      <c r="C37" s="187" t="s">
        <v>135</v>
      </c>
      <c r="D37" s="3">
        <v>0</v>
      </c>
      <c r="E37" s="17" t="str">
        <f t="shared" si="4"/>
        <v>100,00</v>
      </c>
      <c r="F37" s="25">
        <f t="shared" si="5"/>
        <v>0</v>
      </c>
      <c r="G37" s="17">
        <f t="shared" si="6"/>
        <v>0</v>
      </c>
      <c r="H37" s="4">
        <v>0</v>
      </c>
      <c r="I37" s="93" t="s">
        <v>78</v>
      </c>
      <c r="J37" s="17" t="b">
        <f t="shared" si="7"/>
        <v>0</v>
      </c>
      <c r="K37" s="24">
        <f t="shared" si="8"/>
        <v>50</v>
      </c>
      <c r="L37" s="17">
        <f t="shared" si="9"/>
        <v>0</v>
      </c>
      <c r="M37" s="72">
        <f t="shared" si="1"/>
        <v>0</v>
      </c>
      <c r="N37" s="2">
        <v>16</v>
      </c>
      <c r="O37" s="71" t="str">
        <f t="shared" si="10"/>
        <v>12</v>
      </c>
      <c r="P37" s="59">
        <f t="shared" si="15"/>
        <v>7.5</v>
      </c>
      <c r="Q37" s="5">
        <v>0</v>
      </c>
      <c r="R37" s="17">
        <f t="shared" si="11"/>
        <v>0</v>
      </c>
      <c r="S37" s="18">
        <f t="shared" si="16"/>
        <v>0</v>
      </c>
      <c r="T37" s="17">
        <f t="shared" si="2"/>
        <v>7.5</v>
      </c>
      <c r="U37" s="17" t="str">
        <f t="shared" si="12"/>
        <v>-</v>
      </c>
      <c r="V37" s="17">
        <f t="shared" si="13"/>
        <v>0</v>
      </c>
      <c r="W37" s="19" t="str">
        <f t="shared" si="14"/>
        <v>Velocidade OK</v>
      </c>
      <c r="X37" s="172" t="str">
        <f t="shared" si="3"/>
        <v>-</v>
      </c>
      <c r="Z37" s="244"/>
      <c r="AA37" s="245"/>
      <c r="AB37" s="250"/>
      <c r="AC37" s="251"/>
    </row>
    <row r="38" spans="2:33" ht="15" thickBot="1" x14ac:dyDescent="0.35">
      <c r="B38" s="183" t="s">
        <v>135</v>
      </c>
      <c r="C38" s="187" t="s">
        <v>136</v>
      </c>
      <c r="D38" s="3">
        <v>0</v>
      </c>
      <c r="E38" s="17" t="str">
        <f t="shared" si="4"/>
        <v>100,00</v>
      </c>
      <c r="F38" s="60">
        <f t="shared" si="5"/>
        <v>0</v>
      </c>
      <c r="G38" s="17">
        <f t="shared" si="6"/>
        <v>0</v>
      </c>
      <c r="H38" s="4">
        <v>0</v>
      </c>
      <c r="I38" s="93" t="s">
        <v>78</v>
      </c>
      <c r="J38" s="17" t="b">
        <f t="shared" si="7"/>
        <v>0</v>
      </c>
      <c r="K38" s="61">
        <f t="shared" si="8"/>
        <v>50</v>
      </c>
      <c r="L38" s="59">
        <f t="shared" si="9"/>
        <v>0</v>
      </c>
      <c r="M38" s="94">
        <f t="shared" ref="M38:M52" si="17">SUM(H38+L38)</f>
        <v>0</v>
      </c>
      <c r="N38" s="2">
        <v>16</v>
      </c>
      <c r="O38" s="96" t="str">
        <f t="shared" si="10"/>
        <v>12</v>
      </c>
      <c r="P38" s="59">
        <f t="shared" si="15"/>
        <v>7.5</v>
      </c>
      <c r="Q38" s="5">
        <v>0</v>
      </c>
      <c r="R38" s="17">
        <f t="shared" si="11"/>
        <v>0</v>
      </c>
      <c r="S38" s="18">
        <f t="shared" si="16"/>
        <v>0</v>
      </c>
      <c r="T38" s="17">
        <f t="shared" si="2"/>
        <v>7.5</v>
      </c>
      <c r="U38" s="17" t="str">
        <f t="shared" si="12"/>
        <v>-</v>
      </c>
      <c r="V38" s="17">
        <f t="shared" si="13"/>
        <v>0</v>
      </c>
      <c r="W38" s="63" t="str">
        <f t="shared" si="14"/>
        <v>Velocidade OK</v>
      </c>
      <c r="X38" s="172" t="str">
        <f t="shared" si="3"/>
        <v>-</v>
      </c>
    </row>
    <row r="39" spans="2:33" ht="15" customHeight="1" x14ac:dyDescent="0.3">
      <c r="B39" s="183" t="s">
        <v>136</v>
      </c>
      <c r="C39" s="187" t="s">
        <v>137</v>
      </c>
      <c r="D39" s="3">
        <v>0</v>
      </c>
      <c r="E39" s="17" t="str">
        <f t="shared" si="4"/>
        <v>100,00</v>
      </c>
      <c r="F39" s="25">
        <f t="shared" si="5"/>
        <v>0</v>
      </c>
      <c r="G39" s="17">
        <f t="shared" si="6"/>
        <v>0</v>
      </c>
      <c r="H39" s="4">
        <v>0</v>
      </c>
      <c r="I39" s="93" t="s">
        <v>78</v>
      </c>
      <c r="J39" s="17" t="b">
        <f t="shared" si="7"/>
        <v>0</v>
      </c>
      <c r="K39" s="24">
        <f t="shared" si="8"/>
        <v>50</v>
      </c>
      <c r="L39" s="17">
        <f t="shared" si="9"/>
        <v>0</v>
      </c>
      <c r="M39" s="72">
        <f t="shared" si="17"/>
        <v>0</v>
      </c>
      <c r="N39" s="2">
        <v>16</v>
      </c>
      <c r="O39" s="71" t="str">
        <f t="shared" si="10"/>
        <v>12</v>
      </c>
      <c r="P39" s="59">
        <f t="shared" si="15"/>
        <v>7.5</v>
      </c>
      <c r="Q39" s="5">
        <v>0</v>
      </c>
      <c r="R39" s="17">
        <f t="shared" si="11"/>
        <v>0</v>
      </c>
      <c r="S39" s="18">
        <f t="shared" si="16"/>
        <v>0</v>
      </c>
      <c r="T39" s="17">
        <f t="shared" si="2"/>
        <v>7.5</v>
      </c>
      <c r="U39" s="17" t="str">
        <f t="shared" si="12"/>
        <v>-</v>
      </c>
      <c r="V39" s="17">
        <f t="shared" si="13"/>
        <v>0</v>
      </c>
      <c r="W39" s="19" t="str">
        <f t="shared" si="14"/>
        <v>Velocidade OK</v>
      </c>
      <c r="X39" s="172" t="str">
        <f t="shared" si="3"/>
        <v>-</v>
      </c>
      <c r="Z39" s="240"/>
      <c r="AA39" s="276"/>
      <c r="AB39" s="276"/>
      <c r="AC39" s="241"/>
    </row>
    <row r="40" spans="2:33" ht="15" customHeight="1" x14ac:dyDescent="0.3">
      <c r="B40" s="183" t="s">
        <v>137</v>
      </c>
      <c r="C40" s="187" t="s">
        <v>138</v>
      </c>
      <c r="D40" s="3">
        <v>0</v>
      </c>
      <c r="E40" s="17" t="str">
        <f t="shared" si="4"/>
        <v>100,00</v>
      </c>
      <c r="F40" s="25">
        <f t="shared" si="5"/>
        <v>0</v>
      </c>
      <c r="G40" s="17">
        <f t="shared" si="6"/>
        <v>0</v>
      </c>
      <c r="H40" s="4">
        <v>0</v>
      </c>
      <c r="I40" s="93" t="s">
        <v>78</v>
      </c>
      <c r="J40" s="17" t="b">
        <f t="shared" si="7"/>
        <v>0</v>
      </c>
      <c r="K40" s="24">
        <f t="shared" si="8"/>
        <v>50</v>
      </c>
      <c r="L40" s="17">
        <f t="shared" si="9"/>
        <v>0</v>
      </c>
      <c r="M40" s="72">
        <f t="shared" si="17"/>
        <v>0</v>
      </c>
      <c r="N40" s="2">
        <v>16</v>
      </c>
      <c r="O40" s="71" t="str">
        <f t="shared" si="10"/>
        <v>12</v>
      </c>
      <c r="P40" s="59">
        <f t="shared" si="15"/>
        <v>7.5</v>
      </c>
      <c r="Q40" s="5">
        <v>0</v>
      </c>
      <c r="R40" s="17">
        <f t="shared" si="11"/>
        <v>0</v>
      </c>
      <c r="S40" s="18">
        <f t="shared" si="16"/>
        <v>0</v>
      </c>
      <c r="T40" s="17">
        <f t="shared" si="2"/>
        <v>7.5</v>
      </c>
      <c r="U40" s="17" t="str">
        <f t="shared" si="12"/>
        <v>-</v>
      </c>
      <c r="V40" s="17">
        <f t="shared" si="13"/>
        <v>0</v>
      </c>
      <c r="W40" s="19" t="str">
        <f t="shared" si="14"/>
        <v>Velocidade OK</v>
      </c>
      <c r="X40" s="172" t="str">
        <f t="shared" si="3"/>
        <v>-</v>
      </c>
      <c r="Z40" s="242"/>
      <c r="AA40" s="256"/>
      <c r="AB40" s="256"/>
      <c r="AC40" s="243"/>
    </row>
    <row r="41" spans="2:33" ht="15.75" customHeight="1" thickBot="1" x14ac:dyDescent="0.35">
      <c r="B41" s="183" t="s">
        <v>138</v>
      </c>
      <c r="C41" s="187" t="s">
        <v>139</v>
      </c>
      <c r="D41" s="3">
        <v>0</v>
      </c>
      <c r="E41" s="17" t="str">
        <f t="shared" si="4"/>
        <v>100,00</v>
      </c>
      <c r="F41" s="25">
        <f t="shared" si="5"/>
        <v>0</v>
      </c>
      <c r="G41" s="17">
        <f t="shared" si="6"/>
        <v>0</v>
      </c>
      <c r="H41" s="4">
        <v>0</v>
      </c>
      <c r="I41" s="93" t="s">
        <v>78</v>
      </c>
      <c r="J41" s="17" t="b">
        <f t="shared" si="7"/>
        <v>0</v>
      </c>
      <c r="K41" s="24">
        <f t="shared" si="8"/>
        <v>50</v>
      </c>
      <c r="L41" s="17">
        <f t="shared" si="9"/>
        <v>0</v>
      </c>
      <c r="M41" s="72">
        <f t="shared" si="17"/>
        <v>0</v>
      </c>
      <c r="N41" s="2">
        <v>16</v>
      </c>
      <c r="O41" s="71" t="str">
        <f t="shared" si="10"/>
        <v>12</v>
      </c>
      <c r="P41" s="59">
        <f t="shared" si="15"/>
        <v>7.5</v>
      </c>
      <c r="Q41" s="5">
        <v>0</v>
      </c>
      <c r="R41" s="17">
        <f t="shared" si="11"/>
        <v>0</v>
      </c>
      <c r="S41" s="18">
        <f t="shared" si="16"/>
        <v>0</v>
      </c>
      <c r="T41" s="17">
        <f t="shared" si="2"/>
        <v>7.5</v>
      </c>
      <c r="U41" s="17" t="str">
        <f t="shared" si="12"/>
        <v>-</v>
      </c>
      <c r="V41" s="17">
        <f t="shared" si="13"/>
        <v>0</v>
      </c>
      <c r="W41" s="19" t="str">
        <f t="shared" si="14"/>
        <v>Velocidade OK</v>
      </c>
      <c r="X41" s="172" t="str">
        <f t="shared" si="3"/>
        <v>-</v>
      </c>
      <c r="Z41" s="244"/>
      <c r="AA41" s="277"/>
      <c r="AB41" s="277"/>
      <c r="AC41" s="245"/>
    </row>
    <row r="42" spans="2:33" ht="16.2" thickBot="1" x14ac:dyDescent="0.35">
      <c r="B42" s="183" t="s">
        <v>139</v>
      </c>
      <c r="C42" s="187" t="s">
        <v>140</v>
      </c>
      <c r="D42" s="3">
        <v>0</v>
      </c>
      <c r="E42" s="17" t="str">
        <f t="shared" si="4"/>
        <v>100,00</v>
      </c>
      <c r="F42" s="25">
        <f t="shared" si="5"/>
        <v>0</v>
      </c>
      <c r="G42" s="17">
        <f t="shared" si="6"/>
        <v>0</v>
      </c>
      <c r="H42" s="4">
        <v>0</v>
      </c>
      <c r="I42" s="93" t="s">
        <v>78</v>
      </c>
      <c r="J42" s="17" t="b">
        <f t="shared" si="7"/>
        <v>0</v>
      </c>
      <c r="K42" s="24">
        <f t="shared" si="8"/>
        <v>50</v>
      </c>
      <c r="L42" s="17">
        <f t="shared" si="9"/>
        <v>0</v>
      </c>
      <c r="M42" s="72">
        <f t="shared" si="17"/>
        <v>0</v>
      </c>
      <c r="N42" s="2">
        <v>16</v>
      </c>
      <c r="O42" s="71" t="str">
        <f t="shared" si="10"/>
        <v>12</v>
      </c>
      <c r="P42" s="59">
        <f t="shared" si="15"/>
        <v>7.5</v>
      </c>
      <c r="Q42" s="5">
        <v>0</v>
      </c>
      <c r="R42" s="17">
        <f t="shared" si="11"/>
        <v>0</v>
      </c>
      <c r="S42" s="18">
        <f t="shared" si="16"/>
        <v>0</v>
      </c>
      <c r="T42" s="17">
        <f t="shared" si="2"/>
        <v>7.5</v>
      </c>
      <c r="U42" s="17" t="str">
        <f t="shared" si="12"/>
        <v>-</v>
      </c>
      <c r="V42" s="17">
        <f t="shared" si="13"/>
        <v>0</v>
      </c>
      <c r="W42" s="19" t="str">
        <f t="shared" si="14"/>
        <v>Velocidade OK</v>
      </c>
      <c r="X42" s="172" t="str">
        <f t="shared" si="3"/>
        <v>-</v>
      </c>
      <c r="Z42" s="262" t="s">
        <v>41</v>
      </c>
      <c r="AA42" s="263"/>
      <c r="AB42" s="263"/>
      <c r="AC42" s="264"/>
    </row>
    <row r="43" spans="2:33" s="79" customFormat="1" ht="15" thickBot="1" x14ac:dyDescent="0.35">
      <c r="B43" s="183" t="s">
        <v>140</v>
      </c>
      <c r="C43" s="187" t="s">
        <v>141</v>
      </c>
      <c r="D43" s="3">
        <v>0</v>
      </c>
      <c r="E43" s="17" t="str">
        <f t="shared" si="4"/>
        <v>100,00</v>
      </c>
      <c r="F43" s="25">
        <f t="shared" ref="F43" si="18">(D43*E43)/100</f>
        <v>0</v>
      </c>
      <c r="G43" s="17">
        <f t="shared" ref="G43" si="19">(F43/8600)</f>
        <v>0</v>
      </c>
      <c r="H43" s="4">
        <v>0</v>
      </c>
      <c r="I43" s="93" t="s">
        <v>78</v>
      </c>
      <c r="J43" s="17" t="b">
        <f t="shared" si="7"/>
        <v>0</v>
      </c>
      <c r="K43" s="24">
        <f t="shared" ref="K43" si="20">IF(V43&gt;0,0.316*((O43*V43)/(1000*0.0000157))^-0.25,50)</f>
        <v>50</v>
      </c>
      <c r="L43" s="17">
        <f t="shared" ref="L43" si="21">J43*O43/(1000*K43)</f>
        <v>0</v>
      </c>
      <c r="M43" s="72">
        <f t="shared" ref="M43" si="22">SUM(H43+L43)</f>
        <v>0</v>
      </c>
      <c r="N43" s="2">
        <v>16</v>
      </c>
      <c r="O43" s="71" t="str">
        <f t="shared" ref="O43" si="23">IF(N43=16,"12",IF(N43=20,"16",IF(N43=26,"20",IF(N43=32,"26"))))</f>
        <v>12</v>
      </c>
      <c r="P43" s="59">
        <f t="shared" si="15"/>
        <v>7.5</v>
      </c>
      <c r="Q43" s="5">
        <v>0</v>
      </c>
      <c r="R43" s="17">
        <f t="shared" si="11"/>
        <v>0</v>
      </c>
      <c r="S43" s="18">
        <f t="shared" si="16"/>
        <v>0</v>
      </c>
      <c r="T43" s="17">
        <f t="shared" si="2"/>
        <v>7.5</v>
      </c>
      <c r="U43" s="17" t="str">
        <f t="shared" si="12"/>
        <v>-</v>
      </c>
      <c r="V43" s="17">
        <f t="shared" si="13"/>
        <v>0</v>
      </c>
      <c r="W43" s="19" t="str">
        <f t="shared" ref="W43" si="24">IF(V43&gt;20,"Recalcular Diâmetro",IF(V43&lt;20,"Velocidade OK"))</f>
        <v>Velocidade OK</v>
      </c>
      <c r="X43" s="172" t="str">
        <f t="shared" si="3"/>
        <v>-</v>
      </c>
      <c r="Y43" s="99"/>
    </row>
    <row r="44" spans="2:33" s="79" customFormat="1" ht="15" customHeight="1" x14ac:dyDescent="0.3">
      <c r="B44" s="183" t="s">
        <v>141</v>
      </c>
      <c r="C44" s="187" t="s">
        <v>142</v>
      </c>
      <c r="D44" s="3">
        <v>0</v>
      </c>
      <c r="E44" s="17" t="str">
        <f t="shared" si="4"/>
        <v>100,00</v>
      </c>
      <c r="F44" s="25">
        <f t="shared" ref="F44:F50" si="25">(D44*E44)/100</f>
        <v>0</v>
      </c>
      <c r="G44" s="17">
        <f t="shared" ref="G44:G50" si="26">(F44/8600)</f>
        <v>0</v>
      </c>
      <c r="H44" s="4">
        <v>0</v>
      </c>
      <c r="I44" s="93" t="s">
        <v>78</v>
      </c>
      <c r="J44" s="17" t="b">
        <f t="shared" si="7"/>
        <v>0</v>
      </c>
      <c r="K44" s="24">
        <f t="shared" ref="K44:K50" si="27">IF(V44&gt;0,0.316*((O44*V44)/(1000*0.0000157))^-0.25,50)</f>
        <v>50</v>
      </c>
      <c r="L44" s="17">
        <f t="shared" ref="L44:L50" si="28">J44*O44/(1000*K44)</f>
        <v>0</v>
      </c>
      <c r="M44" s="72">
        <f t="shared" ref="M44:M50" si="29">SUM(H44+L44)</f>
        <v>0</v>
      </c>
      <c r="N44" s="2">
        <v>16</v>
      </c>
      <c r="O44" s="71" t="str">
        <f t="shared" ref="O44:O50" si="30">IF(N44=16,"12",IF(N44=20,"16",IF(N44=26,"20",IF(N44=32,"26"))))</f>
        <v>12</v>
      </c>
      <c r="P44" s="59">
        <f t="shared" si="15"/>
        <v>7.5</v>
      </c>
      <c r="Q44" s="5">
        <v>0</v>
      </c>
      <c r="R44" s="17">
        <f t="shared" si="11"/>
        <v>0</v>
      </c>
      <c r="S44" s="18">
        <f t="shared" si="16"/>
        <v>0</v>
      </c>
      <c r="T44" s="17">
        <f t="shared" si="2"/>
        <v>7.5</v>
      </c>
      <c r="U44" s="17" t="str">
        <f t="shared" si="12"/>
        <v>-</v>
      </c>
      <c r="V44" s="17">
        <f t="shared" si="13"/>
        <v>0</v>
      </c>
      <c r="W44" s="19" t="str">
        <f t="shared" ref="W44:W50" si="31">IF(V44&gt;20,"Recalcular Diâmetro",IF(V44&lt;20,"Velocidade OK"))</f>
        <v>Velocidade OK</v>
      </c>
      <c r="X44" s="172" t="str">
        <f t="shared" si="3"/>
        <v>-</v>
      </c>
      <c r="Y44" s="99"/>
      <c r="Z44" s="240"/>
      <c r="AA44" s="276"/>
      <c r="AB44" s="276"/>
      <c r="AC44" s="241"/>
    </row>
    <row r="45" spans="2:33" s="79" customFormat="1" ht="15" customHeight="1" x14ac:dyDescent="0.3">
      <c r="B45" s="183" t="s">
        <v>142</v>
      </c>
      <c r="C45" s="187" t="s">
        <v>143</v>
      </c>
      <c r="D45" s="3">
        <v>0</v>
      </c>
      <c r="E45" s="17" t="str">
        <f t="shared" si="4"/>
        <v>100,00</v>
      </c>
      <c r="F45" s="25">
        <f t="shared" si="25"/>
        <v>0</v>
      </c>
      <c r="G45" s="17">
        <f t="shared" si="26"/>
        <v>0</v>
      </c>
      <c r="H45" s="4">
        <v>0</v>
      </c>
      <c r="I45" s="93" t="s">
        <v>78</v>
      </c>
      <c r="J45" s="17" t="b">
        <f t="shared" si="7"/>
        <v>0</v>
      </c>
      <c r="K45" s="24">
        <f t="shared" si="27"/>
        <v>50</v>
      </c>
      <c r="L45" s="17">
        <f t="shared" si="28"/>
        <v>0</v>
      </c>
      <c r="M45" s="72">
        <f t="shared" si="29"/>
        <v>0</v>
      </c>
      <c r="N45" s="2">
        <v>16</v>
      </c>
      <c r="O45" s="71" t="str">
        <f t="shared" si="30"/>
        <v>12</v>
      </c>
      <c r="P45" s="59">
        <f t="shared" si="15"/>
        <v>7.5</v>
      </c>
      <c r="Q45" s="5">
        <v>0</v>
      </c>
      <c r="R45" s="17">
        <f t="shared" si="11"/>
        <v>0</v>
      </c>
      <c r="S45" s="18">
        <f t="shared" si="16"/>
        <v>0</v>
      </c>
      <c r="T45" s="17">
        <f t="shared" si="2"/>
        <v>7.5</v>
      </c>
      <c r="U45" s="17" t="str">
        <f t="shared" si="12"/>
        <v>-</v>
      </c>
      <c r="V45" s="17">
        <f t="shared" si="13"/>
        <v>0</v>
      </c>
      <c r="W45" s="19" t="str">
        <f t="shared" si="31"/>
        <v>Velocidade OK</v>
      </c>
      <c r="X45" s="172" t="str">
        <f t="shared" si="3"/>
        <v>-</v>
      </c>
      <c r="Y45" s="99"/>
      <c r="Z45" s="242"/>
      <c r="AA45" s="256"/>
      <c r="AB45" s="256"/>
      <c r="AC45" s="243"/>
    </row>
    <row r="46" spans="2:33" s="79" customFormat="1" ht="15.75" customHeight="1" thickBot="1" x14ac:dyDescent="0.35">
      <c r="B46" s="183" t="s">
        <v>143</v>
      </c>
      <c r="C46" s="187" t="s">
        <v>144</v>
      </c>
      <c r="D46" s="3">
        <v>0</v>
      </c>
      <c r="E46" s="17" t="str">
        <f t="shared" si="4"/>
        <v>100,00</v>
      </c>
      <c r="F46" s="25">
        <f t="shared" si="25"/>
        <v>0</v>
      </c>
      <c r="G46" s="17">
        <f t="shared" si="26"/>
        <v>0</v>
      </c>
      <c r="H46" s="4">
        <v>0</v>
      </c>
      <c r="I46" s="93" t="s">
        <v>78</v>
      </c>
      <c r="J46" s="17" t="b">
        <f t="shared" si="7"/>
        <v>0</v>
      </c>
      <c r="K46" s="24">
        <f t="shared" si="27"/>
        <v>50</v>
      </c>
      <c r="L46" s="17">
        <f t="shared" si="28"/>
        <v>0</v>
      </c>
      <c r="M46" s="72">
        <f t="shared" si="29"/>
        <v>0</v>
      </c>
      <c r="N46" s="2">
        <v>16</v>
      </c>
      <c r="O46" s="71" t="str">
        <f t="shared" si="30"/>
        <v>12</v>
      </c>
      <c r="P46" s="59">
        <f t="shared" si="15"/>
        <v>7.5</v>
      </c>
      <c r="Q46" s="5">
        <v>0</v>
      </c>
      <c r="R46" s="17">
        <f t="shared" si="11"/>
        <v>0</v>
      </c>
      <c r="S46" s="18">
        <f t="shared" si="16"/>
        <v>0</v>
      </c>
      <c r="T46" s="17">
        <f t="shared" si="2"/>
        <v>7.5</v>
      </c>
      <c r="U46" s="17" t="str">
        <f t="shared" si="12"/>
        <v>-</v>
      </c>
      <c r="V46" s="17">
        <f t="shared" si="13"/>
        <v>0</v>
      </c>
      <c r="W46" s="19" t="str">
        <f t="shared" si="31"/>
        <v>Velocidade OK</v>
      </c>
      <c r="X46" s="172" t="str">
        <f t="shared" si="3"/>
        <v>-</v>
      </c>
      <c r="Y46" s="99"/>
      <c r="Z46" s="244"/>
      <c r="AA46" s="277"/>
      <c r="AB46" s="277"/>
      <c r="AC46" s="245"/>
    </row>
    <row r="47" spans="2:33" s="79" customFormat="1" ht="16.2" thickBot="1" x14ac:dyDescent="0.35">
      <c r="B47" s="183" t="s">
        <v>144</v>
      </c>
      <c r="C47" s="187" t="s">
        <v>145</v>
      </c>
      <c r="D47" s="3">
        <v>0</v>
      </c>
      <c r="E47" s="17" t="str">
        <f t="shared" si="4"/>
        <v>100,00</v>
      </c>
      <c r="F47" s="25">
        <f t="shared" si="25"/>
        <v>0</v>
      </c>
      <c r="G47" s="17">
        <f t="shared" si="26"/>
        <v>0</v>
      </c>
      <c r="H47" s="4">
        <v>0</v>
      </c>
      <c r="I47" s="93" t="s">
        <v>78</v>
      </c>
      <c r="J47" s="17" t="b">
        <f t="shared" si="7"/>
        <v>0</v>
      </c>
      <c r="K47" s="24">
        <f t="shared" si="27"/>
        <v>50</v>
      </c>
      <c r="L47" s="17">
        <f t="shared" si="28"/>
        <v>0</v>
      </c>
      <c r="M47" s="72">
        <f t="shared" si="29"/>
        <v>0</v>
      </c>
      <c r="N47" s="2">
        <v>16</v>
      </c>
      <c r="O47" s="71" t="str">
        <f t="shared" si="30"/>
        <v>12</v>
      </c>
      <c r="P47" s="59">
        <f t="shared" si="15"/>
        <v>7.5</v>
      </c>
      <c r="Q47" s="5">
        <v>0</v>
      </c>
      <c r="R47" s="17">
        <f t="shared" si="11"/>
        <v>0</v>
      </c>
      <c r="S47" s="18">
        <f t="shared" si="16"/>
        <v>0</v>
      </c>
      <c r="T47" s="17">
        <f t="shared" si="2"/>
        <v>7.5</v>
      </c>
      <c r="U47" s="17" t="str">
        <f t="shared" si="12"/>
        <v>-</v>
      </c>
      <c r="V47" s="17">
        <f t="shared" si="13"/>
        <v>0</v>
      </c>
      <c r="W47" s="19" t="str">
        <f t="shared" si="31"/>
        <v>Velocidade OK</v>
      </c>
      <c r="X47" s="172" t="str">
        <f t="shared" si="3"/>
        <v>-</v>
      </c>
      <c r="Y47" s="99"/>
      <c r="Z47" s="262" t="s">
        <v>42</v>
      </c>
      <c r="AA47" s="263"/>
      <c r="AB47" s="263"/>
      <c r="AC47" s="264"/>
    </row>
    <row r="48" spans="2:33" s="79" customFormat="1" ht="15" thickBot="1" x14ac:dyDescent="0.35">
      <c r="B48" s="183" t="s">
        <v>145</v>
      </c>
      <c r="C48" s="187" t="s">
        <v>146</v>
      </c>
      <c r="D48" s="3">
        <v>0</v>
      </c>
      <c r="E48" s="17" t="str">
        <f t="shared" si="4"/>
        <v>100,00</v>
      </c>
      <c r="F48" s="25">
        <f t="shared" si="25"/>
        <v>0</v>
      </c>
      <c r="G48" s="17">
        <f t="shared" si="26"/>
        <v>0</v>
      </c>
      <c r="H48" s="4">
        <v>0</v>
      </c>
      <c r="I48" s="93" t="s">
        <v>78</v>
      </c>
      <c r="J48" s="17" t="b">
        <f t="shared" si="7"/>
        <v>0</v>
      </c>
      <c r="K48" s="24">
        <f t="shared" si="27"/>
        <v>50</v>
      </c>
      <c r="L48" s="17">
        <f t="shared" si="28"/>
        <v>0</v>
      </c>
      <c r="M48" s="72">
        <f t="shared" si="29"/>
        <v>0</v>
      </c>
      <c r="N48" s="2">
        <v>16</v>
      </c>
      <c r="O48" s="71" t="str">
        <f t="shared" si="30"/>
        <v>12</v>
      </c>
      <c r="P48" s="59">
        <f t="shared" si="15"/>
        <v>7.5</v>
      </c>
      <c r="Q48" s="5">
        <v>0</v>
      </c>
      <c r="R48" s="17">
        <f t="shared" si="11"/>
        <v>0</v>
      </c>
      <c r="S48" s="18">
        <f t="shared" si="16"/>
        <v>0</v>
      </c>
      <c r="T48" s="17">
        <f t="shared" si="2"/>
        <v>7.5</v>
      </c>
      <c r="U48" s="17" t="str">
        <f t="shared" si="12"/>
        <v>-</v>
      </c>
      <c r="V48" s="17">
        <f t="shared" si="13"/>
        <v>0</v>
      </c>
      <c r="W48" s="19" t="str">
        <f t="shared" si="31"/>
        <v>Velocidade OK</v>
      </c>
      <c r="X48" s="172" t="str">
        <f t="shared" si="3"/>
        <v>-</v>
      </c>
      <c r="Y48" s="99"/>
    </row>
    <row r="49" spans="2:29" s="79" customFormat="1" ht="15" customHeight="1" x14ac:dyDescent="0.3">
      <c r="B49" s="183" t="s">
        <v>146</v>
      </c>
      <c r="C49" s="187" t="s">
        <v>147</v>
      </c>
      <c r="D49" s="3">
        <v>0</v>
      </c>
      <c r="E49" s="17" t="str">
        <f t="shared" si="4"/>
        <v>100,00</v>
      </c>
      <c r="F49" s="25">
        <f t="shared" si="25"/>
        <v>0</v>
      </c>
      <c r="G49" s="17">
        <f t="shared" si="26"/>
        <v>0</v>
      </c>
      <c r="H49" s="4">
        <v>0</v>
      </c>
      <c r="I49" s="93" t="s">
        <v>78</v>
      </c>
      <c r="J49" s="17" t="b">
        <f t="shared" si="7"/>
        <v>0</v>
      </c>
      <c r="K49" s="24">
        <f t="shared" si="27"/>
        <v>50</v>
      </c>
      <c r="L49" s="17">
        <f t="shared" si="28"/>
        <v>0</v>
      </c>
      <c r="M49" s="72">
        <f t="shared" si="29"/>
        <v>0</v>
      </c>
      <c r="N49" s="2">
        <v>16</v>
      </c>
      <c r="O49" s="71" t="str">
        <f t="shared" si="30"/>
        <v>12</v>
      </c>
      <c r="P49" s="59">
        <f t="shared" si="15"/>
        <v>7.5</v>
      </c>
      <c r="Q49" s="5">
        <v>0</v>
      </c>
      <c r="R49" s="17">
        <f t="shared" si="11"/>
        <v>0</v>
      </c>
      <c r="S49" s="18">
        <f t="shared" si="16"/>
        <v>0</v>
      </c>
      <c r="T49" s="17">
        <f t="shared" si="2"/>
        <v>7.5</v>
      </c>
      <c r="U49" s="17" t="str">
        <f t="shared" si="12"/>
        <v>-</v>
      </c>
      <c r="V49" s="17">
        <f t="shared" si="13"/>
        <v>0</v>
      </c>
      <c r="W49" s="19" t="str">
        <f t="shared" si="31"/>
        <v>Velocidade OK</v>
      </c>
      <c r="X49" s="172" t="str">
        <f t="shared" si="3"/>
        <v>-</v>
      </c>
      <c r="Y49" s="99"/>
      <c r="Z49" s="82"/>
      <c r="AA49" s="88"/>
      <c r="AB49" s="88"/>
      <c r="AC49" s="83"/>
    </row>
    <row r="50" spans="2:29" s="79" customFormat="1" ht="15" customHeight="1" x14ac:dyDescent="0.3">
      <c r="B50" s="183" t="s">
        <v>147</v>
      </c>
      <c r="C50" s="187" t="s">
        <v>148</v>
      </c>
      <c r="D50" s="3">
        <v>0</v>
      </c>
      <c r="E50" s="17" t="str">
        <f t="shared" si="4"/>
        <v>100,00</v>
      </c>
      <c r="F50" s="25">
        <f t="shared" si="25"/>
        <v>0</v>
      </c>
      <c r="G50" s="17">
        <f t="shared" si="26"/>
        <v>0</v>
      </c>
      <c r="H50" s="4">
        <v>0</v>
      </c>
      <c r="I50" s="93" t="s">
        <v>78</v>
      </c>
      <c r="J50" s="17" t="b">
        <f t="shared" si="7"/>
        <v>0</v>
      </c>
      <c r="K50" s="24">
        <f t="shared" si="27"/>
        <v>50</v>
      </c>
      <c r="L50" s="17">
        <f t="shared" si="28"/>
        <v>0</v>
      </c>
      <c r="M50" s="72">
        <f t="shared" si="29"/>
        <v>0</v>
      </c>
      <c r="N50" s="2">
        <v>16</v>
      </c>
      <c r="O50" s="71" t="str">
        <f t="shared" si="30"/>
        <v>12</v>
      </c>
      <c r="P50" s="59">
        <f t="shared" si="15"/>
        <v>7.5</v>
      </c>
      <c r="Q50" s="5">
        <v>0</v>
      </c>
      <c r="R50" s="17">
        <f t="shared" si="11"/>
        <v>0</v>
      </c>
      <c r="S50" s="18">
        <f t="shared" si="16"/>
        <v>0</v>
      </c>
      <c r="T50" s="17">
        <f t="shared" si="2"/>
        <v>7.5</v>
      </c>
      <c r="U50" s="17" t="str">
        <f t="shared" si="12"/>
        <v>-</v>
      </c>
      <c r="V50" s="17">
        <f t="shared" si="13"/>
        <v>0</v>
      </c>
      <c r="W50" s="19" t="str">
        <f t="shared" si="31"/>
        <v>Velocidade OK</v>
      </c>
      <c r="X50" s="172" t="str">
        <f t="shared" si="3"/>
        <v>-</v>
      </c>
      <c r="Y50" s="99"/>
      <c r="Z50" s="84"/>
      <c r="AA50" s="86"/>
      <c r="AB50" s="86"/>
      <c r="AC50" s="85"/>
    </row>
    <row r="51" spans="2:29" s="79" customFormat="1" ht="15" customHeight="1" thickBot="1" x14ac:dyDescent="0.35">
      <c r="B51" s="183" t="s">
        <v>148</v>
      </c>
      <c r="C51" s="187" t="s">
        <v>149</v>
      </c>
      <c r="D51" s="3">
        <v>0</v>
      </c>
      <c r="E51" s="17" t="str">
        <f t="shared" si="4"/>
        <v>100,00</v>
      </c>
      <c r="F51" s="25">
        <f t="shared" ref="F51" si="32">(D51*E51)/100</f>
        <v>0</v>
      </c>
      <c r="G51" s="17">
        <f t="shared" ref="G51" si="33">(F51/8600)</f>
        <v>0</v>
      </c>
      <c r="H51" s="4">
        <v>0</v>
      </c>
      <c r="I51" s="93" t="s">
        <v>78</v>
      </c>
      <c r="J51" s="17" t="b">
        <f t="shared" si="7"/>
        <v>0</v>
      </c>
      <c r="K51" s="24">
        <f t="shared" ref="K51" si="34">IF(V51&gt;0,0.316*((O51*V51)/(1000*0.0000157))^-0.25,50)</f>
        <v>50</v>
      </c>
      <c r="L51" s="17">
        <f t="shared" ref="L51" si="35">J51*O51/(1000*K51)</f>
        <v>0</v>
      </c>
      <c r="M51" s="72">
        <f t="shared" ref="M51" si="36">SUM(H51+L51)</f>
        <v>0</v>
      </c>
      <c r="N51" s="2">
        <v>16</v>
      </c>
      <c r="O51" s="71" t="str">
        <f t="shared" ref="O51" si="37">IF(N51=16,"12",IF(N51=20,"16",IF(N51=26,"20",IF(N51=32,"26"))))</f>
        <v>12</v>
      </c>
      <c r="P51" s="59">
        <f t="shared" si="15"/>
        <v>7.5</v>
      </c>
      <c r="Q51" s="5">
        <v>0</v>
      </c>
      <c r="R51" s="17">
        <f t="shared" si="11"/>
        <v>0</v>
      </c>
      <c r="S51" s="18">
        <f t="shared" si="16"/>
        <v>0</v>
      </c>
      <c r="T51" s="17">
        <f t="shared" si="2"/>
        <v>7.5</v>
      </c>
      <c r="U51" s="17" t="str">
        <f t="shared" si="12"/>
        <v>-</v>
      </c>
      <c r="V51" s="17">
        <f t="shared" si="13"/>
        <v>0</v>
      </c>
      <c r="W51" s="19" t="str">
        <f t="shared" ref="W51" si="38">IF(V51&gt;20,"Recalcular Diâmetro",IF(V51&lt;20,"Velocidade OK"))</f>
        <v>Velocidade OK</v>
      </c>
      <c r="X51" s="172" t="str">
        <f t="shared" si="3"/>
        <v>-</v>
      </c>
      <c r="Y51" s="99"/>
      <c r="Z51" s="84"/>
      <c r="AA51" s="86"/>
      <c r="AB51" s="86"/>
      <c r="AC51" s="85"/>
    </row>
    <row r="52" spans="2:29" ht="15.75" customHeight="1" thickBot="1" x14ac:dyDescent="0.35">
      <c r="B52" s="184" t="s">
        <v>148</v>
      </c>
      <c r="C52" s="188">
        <v>1</v>
      </c>
      <c r="D52" s="65">
        <v>0</v>
      </c>
      <c r="E52" s="20" t="str">
        <f t="shared" si="4"/>
        <v>100,00</v>
      </c>
      <c r="F52" s="26">
        <f t="shared" si="5"/>
        <v>0</v>
      </c>
      <c r="G52" s="20">
        <f t="shared" si="6"/>
        <v>0</v>
      </c>
      <c r="H52" s="66">
        <v>0</v>
      </c>
      <c r="I52" s="141" t="s">
        <v>78</v>
      </c>
      <c r="J52" s="20" t="b">
        <f t="shared" si="7"/>
        <v>0</v>
      </c>
      <c r="K52" s="67">
        <f t="shared" si="8"/>
        <v>50</v>
      </c>
      <c r="L52" s="20">
        <f t="shared" si="9"/>
        <v>0</v>
      </c>
      <c r="M52" s="95">
        <f t="shared" si="17"/>
        <v>0</v>
      </c>
      <c r="N52" s="142">
        <v>16</v>
      </c>
      <c r="O52" s="97" t="str">
        <f t="shared" si="10"/>
        <v>12</v>
      </c>
      <c r="P52" s="161">
        <f t="shared" si="15"/>
        <v>7.5</v>
      </c>
      <c r="Q52" s="5">
        <v>0</v>
      </c>
      <c r="R52" s="20">
        <f t="shared" si="11"/>
        <v>0</v>
      </c>
      <c r="S52" s="18">
        <f t="shared" si="16"/>
        <v>0</v>
      </c>
      <c r="T52" s="20">
        <f t="shared" si="2"/>
        <v>7.5</v>
      </c>
      <c r="U52" s="20" t="str">
        <f t="shared" si="12"/>
        <v>-</v>
      </c>
      <c r="V52" s="20">
        <f t="shared" si="13"/>
        <v>0</v>
      </c>
      <c r="W52" s="21" t="str">
        <f t="shared" si="14"/>
        <v>Velocidade OK</v>
      </c>
      <c r="X52" s="173">
        <f t="shared" si="3"/>
        <v>7.5</v>
      </c>
      <c r="Z52" s="262" t="s">
        <v>43</v>
      </c>
      <c r="AA52" s="263"/>
      <c r="AB52" s="263"/>
      <c r="AC52" s="264"/>
    </row>
    <row r="53" spans="2:29" ht="15" customHeight="1" x14ac:dyDescent="0.3">
      <c r="B53" s="42"/>
      <c r="C53" s="42"/>
      <c r="D53" s="43"/>
      <c r="E53" s="44"/>
      <c r="F53" s="45"/>
      <c r="G53" s="44"/>
      <c r="H53" s="46"/>
      <c r="I53" s="47"/>
      <c r="J53" s="44"/>
      <c r="K53" s="48"/>
      <c r="L53" s="44"/>
      <c r="M53" s="44"/>
      <c r="N53" s="49"/>
      <c r="O53" s="50"/>
      <c r="P53" s="44"/>
      <c r="Q53" s="51"/>
      <c r="R53" s="44"/>
      <c r="S53" s="44"/>
      <c r="T53" s="44"/>
      <c r="U53" s="44"/>
      <c r="V53" s="44"/>
      <c r="W53" s="52"/>
    </row>
    <row r="54" spans="2:29" ht="15.75" customHeight="1" thickBot="1" x14ac:dyDescent="0.35">
      <c r="B54" s="7"/>
      <c r="C54" s="7"/>
      <c r="I54" s="13"/>
      <c r="J54" s="13"/>
      <c r="K54" s="13"/>
      <c r="L54" s="9"/>
      <c r="M54" s="9"/>
      <c r="N54" s="9"/>
      <c r="O54" s="6"/>
      <c r="P54" s="8"/>
      <c r="Q54" s="9"/>
      <c r="R54" s="9"/>
      <c r="S54" s="9"/>
      <c r="T54" s="10"/>
      <c r="U54" s="7"/>
      <c r="V54" s="7"/>
      <c r="Z54" s="86"/>
      <c r="AA54" s="86"/>
      <c r="AB54" s="87"/>
      <c r="AC54" s="87"/>
    </row>
    <row r="55" spans="2:29" ht="15" customHeight="1" x14ac:dyDescent="0.3">
      <c r="B55" s="7"/>
      <c r="C55" s="7"/>
      <c r="D55" s="30" t="s">
        <v>30</v>
      </c>
      <c r="E55" s="31"/>
      <c r="F55" s="31"/>
      <c r="G55" s="31"/>
      <c r="H55" s="32"/>
      <c r="I55" s="33"/>
      <c r="J55" s="40"/>
      <c r="K55" s="34"/>
      <c r="L55" s="34"/>
      <c r="M55" s="265" t="s">
        <v>150</v>
      </c>
      <c r="N55" s="266"/>
      <c r="O55" s="266"/>
      <c r="P55" s="267"/>
      <c r="Q55" s="252">
        <f>P12-D56</f>
        <v>5.25</v>
      </c>
      <c r="R55" s="12"/>
      <c r="S55" s="12"/>
      <c r="T55" s="12"/>
      <c r="U55" s="12"/>
      <c r="V55" s="12"/>
      <c r="W55" s="12"/>
    </row>
    <row r="56" spans="2:29" ht="21.6" thickBot="1" x14ac:dyDescent="0.45">
      <c r="B56" s="7"/>
      <c r="C56" s="7"/>
      <c r="D56" s="35">
        <f>P12*0.3</f>
        <v>2.25</v>
      </c>
      <c r="E56" s="36"/>
      <c r="F56" s="36"/>
      <c r="G56" s="37" t="s">
        <v>93</v>
      </c>
      <c r="H56" s="38"/>
      <c r="I56" s="34"/>
      <c r="J56" s="41"/>
      <c r="K56" s="34"/>
      <c r="L56" s="34"/>
      <c r="M56" s="268"/>
      <c r="N56" s="269"/>
      <c r="O56" s="269"/>
      <c r="P56" s="270"/>
      <c r="Q56" s="253"/>
      <c r="R56" s="12"/>
      <c r="S56" s="12"/>
      <c r="T56" s="12"/>
      <c r="U56" s="12"/>
      <c r="V56" s="12"/>
      <c r="W56" s="12"/>
      <c r="Z56" s="256"/>
      <c r="AA56" s="256"/>
      <c r="AB56" s="257"/>
      <c r="AC56" s="258"/>
    </row>
    <row r="57" spans="2:29" ht="21.6" thickBot="1" x14ac:dyDescent="0.45">
      <c r="B57" s="7"/>
      <c r="C57" s="7"/>
      <c r="D57" s="53"/>
      <c r="E57" s="54"/>
      <c r="F57" s="54"/>
      <c r="G57" s="55"/>
      <c r="H57" s="54"/>
      <c r="I57" s="34"/>
      <c r="J57" s="41"/>
      <c r="K57" s="34"/>
      <c r="L57" s="34"/>
      <c r="M57" s="56"/>
      <c r="N57" s="56"/>
      <c r="O57" s="56"/>
      <c r="P57" s="57"/>
      <c r="Q57" s="58"/>
      <c r="R57" s="58"/>
      <c r="S57" s="58"/>
      <c r="T57" s="58"/>
      <c r="U57" s="58"/>
      <c r="V57" s="58"/>
      <c r="W57" s="58"/>
      <c r="Z57" s="256"/>
      <c r="AA57" s="256"/>
      <c r="AB57" s="258"/>
      <c r="AC57" s="258"/>
    </row>
    <row r="58" spans="2:29" ht="24" customHeight="1" thickBot="1" x14ac:dyDescent="0.35">
      <c r="B58" s="254" t="s">
        <v>155</v>
      </c>
      <c r="C58" s="255"/>
      <c r="D58" s="228"/>
      <c r="E58" s="228"/>
      <c r="F58" s="228"/>
      <c r="G58" s="228"/>
      <c r="H58" s="228"/>
      <c r="I58" s="232"/>
      <c r="J58" s="232"/>
      <c r="K58" s="232"/>
      <c r="L58" s="232"/>
      <c r="M58" s="232"/>
      <c r="N58" s="232"/>
      <c r="O58" s="228"/>
      <c r="P58" s="232"/>
      <c r="Q58" s="232"/>
      <c r="R58" s="228"/>
      <c r="S58" s="228"/>
      <c r="T58" s="228"/>
      <c r="U58" s="228"/>
      <c r="V58" s="228"/>
      <c r="W58" s="229"/>
      <c r="X58" s="6"/>
      <c r="Y58" s="105"/>
      <c r="Z58" s="256"/>
      <c r="AA58" s="256"/>
      <c r="AB58" s="258"/>
      <c r="AC58" s="258"/>
    </row>
    <row r="59" spans="2:29" ht="24" customHeight="1" thickTop="1" thickBot="1" x14ac:dyDescent="0.45">
      <c r="B59" s="91"/>
      <c r="C59" s="145"/>
      <c r="D59" s="41"/>
      <c r="E59" s="41"/>
      <c r="F59" s="41"/>
      <c r="G59" s="41"/>
      <c r="H59" s="92"/>
      <c r="I59" s="259" t="s">
        <v>151</v>
      </c>
      <c r="J59" s="260"/>
      <c r="K59" s="260"/>
      <c r="L59" s="260"/>
      <c r="M59" s="260"/>
      <c r="N59" s="261"/>
      <c r="O59" s="64"/>
      <c r="P59" s="163">
        <v>2.2000000000000002</v>
      </c>
      <c r="Q59" s="164" t="s">
        <v>96</v>
      </c>
      <c r="R59" s="64"/>
      <c r="S59" s="64"/>
      <c r="T59" s="64"/>
      <c r="U59" s="64"/>
      <c r="V59" s="64"/>
      <c r="W59" s="90"/>
      <c r="X59" s="6"/>
      <c r="Y59" s="105"/>
      <c r="Z59" s="6"/>
      <c r="AB59" s="6"/>
    </row>
    <row r="60" spans="2:29" s="99" customFormat="1" ht="97.5" customHeight="1" thickBot="1" x14ac:dyDescent="0.35">
      <c r="B60" s="120" t="s">
        <v>103</v>
      </c>
      <c r="C60" s="144" t="s">
        <v>104</v>
      </c>
      <c r="D60" s="121" t="s">
        <v>14</v>
      </c>
      <c r="E60" s="121" t="s">
        <v>8</v>
      </c>
      <c r="F60" s="121" t="s">
        <v>15</v>
      </c>
      <c r="G60" s="121" t="s">
        <v>2</v>
      </c>
      <c r="H60" s="121" t="s">
        <v>16</v>
      </c>
      <c r="I60" s="121" t="s">
        <v>31</v>
      </c>
      <c r="J60" s="121" t="s">
        <v>23</v>
      </c>
      <c r="K60" s="121" t="s">
        <v>21</v>
      </c>
      <c r="L60" s="121" t="s">
        <v>3</v>
      </c>
      <c r="M60" s="121" t="s">
        <v>9</v>
      </c>
      <c r="N60" s="121" t="s">
        <v>18</v>
      </c>
      <c r="O60" s="121" t="s">
        <v>17</v>
      </c>
      <c r="P60" s="121" t="s">
        <v>4</v>
      </c>
      <c r="Q60" s="121" t="s">
        <v>92</v>
      </c>
      <c r="R60" s="121" t="s">
        <v>92</v>
      </c>
      <c r="S60" s="121" t="s">
        <v>5</v>
      </c>
      <c r="T60" s="121" t="s">
        <v>6</v>
      </c>
      <c r="U60" s="121" t="s">
        <v>5</v>
      </c>
      <c r="V60" s="121" t="s">
        <v>7</v>
      </c>
      <c r="W60" s="162" t="s">
        <v>19</v>
      </c>
      <c r="X60" s="157" t="s">
        <v>109</v>
      </c>
      <c r="Y60" s="105"/>
      <c r="Z60" s="105"/>
      <c r="AB60" s="105"/>
    </row>
    <row r="61" spans="2:29" s="99" customFormat="1" ht="15.75" customHeight="1" x14ac:dyDescent="0.3">
      <c r="B61" s="178"/>
      <c r="C61" s="179"/>
      <c r="D61" s="122" t="s">
        <v>10</v>
      </c>
      <c r="E61" s="122" t="s">
        <v>1</v>
      </c>
      <c r="F61" s="122" t="s">
        <v>10</v>
      </c>
      <c r="G61" s="122" t="s">
        <v>11</v>
      </c>
      <c r="H61" s="122" t="s">
        <v>95</v>
      </c>
      <c r="I61" s="123" t="s">
        <v>24</v>
      </c>
      <c r="J61" s="122" t="s">
        <v>25</v>
      </c>
      <c r="K61" s="124" t="s">
        <v>22</v>
      </c>
      <c r="L61" s="122" t="s">
        <v>95</v>
      </c>
      <c r="M61" s="122" t="s">
        <v>95</v>
      </c>
      <c r="N61" s="122" t="s">
        <v>12</v>
      </c>
      <c r="O61" s="122" t="s">
        <v>12</v>
      </c>
      <c r="P61" s="122" t="s">
        <v>93</v>
      </c>
      <c r="Q61" s="122" t="s">
        <v>95</v>
      </c>
      <c r="R61" s="122" t="s">
        <v>93</v>
      </c>
      <c r="S61" s="122" t="s">
        <v>93</v>
      </c>
      <c r="T61" s="122" t="s">
        <v>93</v>
      </c>
      <c r="U61" s="122" t="s">
        <v>94</v>
      </c>
      <c r="V61" s="122" t="s">
        <v>13</v>
      </c>
      <c r="W61" s="149" t="s">
        <v>20</v>
      </c>
      <c r="X61" s="193" t="s">
        <v>110</v>
      </c>
      <c r="Y61" s="12"/>
      <c r="Z61" s="12"/>
      <c r="AA61" s="12"/>
      <c r="AB61" s="105"/>
    </row>
    <row r="62" spans="2:29" s="81" customFormat="1" ht="15" hidden="1" customHeight="1" x14ac:dyDescent="0.3">
      <c r="B62" s="14" t="s">
        <v>46</v>
      </c>
      <c r="C62" s="146" t="s">
        <v>45</v>
      </c>
      <c r="D62" s="3">
        <f>D63</f>
        <v>0</v>
      </c>
      <c r="E62" s="17">
        <f>E63</f>
        <v>100</v>
      </c>
      <c r="F62" s="25">
        <f t="shared" ref="F62" si="39">(D62*E62)/100</f>
        <v>0</v>
      </c>
      <c r="G62" s="17">
        <f>(F62/8600)</f>
        <v>0</v>
      </c>
      <c r="H62" s="4"/>
      <c r="I62" s="89" t="s">
        <v>44</v>
      </c>
      <c r="J62" s="17">
        <f t="shared" ref="J62" si="40">IF(I62="TEE - Passagem Direta",1.8,IF(I62="União ou Redução",1.8,IF(I62="Conector Macho",1.6,IF(I62="Conector Fêmea",1.6,IF(I62="Conector Fêmea Giratório",1.6,IF(I62="Cotovelo",2.4,IF(I62="TEE - Passagem Angular",2.2,IF(I62="Cotovelo Macho",2.2,IF(I62="Cotovelo Fêmea",2.2,IF(I62="TEE - Entrada Central",3.2,IF(I62="F",3)))))))))))</f>
        <v>2.2000000000000002</v>
      </c>
      <c r="K62" s="126">
        <f t="shared" ref="K62" si="41">IF(V62&gt;0,0.316*((O62*V62)/(1000*0.0000157))^-0.25,50)</f>
        <v>50</v>
      </c>
      <c r="L62" s="127">
        <f t="shared" ref="L62" si="42">J62*O62/(1000*K62)</f>
        <v>8.8000000000000003E-4</v>
      </c>
      <c r="M62" s="17">
        <f t="shared" ref="M62" si="43">SUM(H62+L62)</f>
        <v>8.8000000000000003E-4</v>
      </c>
      <c r="N62" s="2">
        <f>N63</f>
        <v>26</v>
      </c>
      <c r="O62" s="22" t="str">
        <f t="shared" ref="O62" si="44">IF(N62=16,"12",IF(N62=20,"16",IF(N62=26,"20",IF(N62=32,"26"))))</f>
        <v>20</v>
      </c>
      <c r="P62" s="17">
        <f>P59</f>
        <v>2.2000000000000002</v>
      </c>
      <c r="Q62" s="5">
        <v>0</v>
      </c>
      <c r="R62" s="17">
        <f t="shared" ref="R62" si="45">Q62/2</f>
        <v>0</v>
      </c>
      <c r="S62" s="128">
        <f>(2029.06*G62^1.8*0.6^0.8*M62)/O62^4.8</f>
        <v>0</v>
      </c>
      <c r="T62" s="17">
        <f t="shared" ref="T62" si="46">(P62-S62)+R62</f>
        <v>2.2000000000000002</v>
      </c>
      <c r="U62" s="17">
        <f t="shared" ref="U62" si="47">(S62 - R62)/M62</f>
        <v>0</v>
      </c>
      <c r="V62" s="17">
        <f>354*G62/((P62/100+1.033)*O62^2)</f>
        <v>0</v>
      </c>
      <c r="W62" s="150" t="str">
        <f t="shared" ref="W62" si="48">IF(V62&gt;20,"Recalcular Diâmetro",IF(V62&lt;20,"Velocidade OK"))</f>
        <v>Velocidade OK</v>
      </c>
      <c r="X62" s="168"/>
      <c r="Y62" s="105"/>
      <c r="Z62" s="105"/>
      <c r="AA62" s="105"/>
    </row>
    <row r="63" spans="2:29" x14ac:dyDescent="0.3">
      <c r="B63" s="14" t="s">
        <v>46</v>
      </c>
      <c r="C63" s="146" t="s">
        <v>105</v>
      </c>
      <c r="D63" s="3">
        <v>0</v>
      </c>
      <c r="E63" s="17">
        <v>100</v>
      </c>
      <c r="F63" s="25">
        <f t="shared" ref="F63:F71" si="49">(D63*E63)/100</f>
        <v>0</v>
      </c>
      <c r="G63" s="17">
        <f>(F63/8600)</f>
        <v>0</v>
      </c>
      <c r="H63" s="4">
        <v>0</v>
      </c>
      <c r="I63" s="93"/>
      <c r="J63" s="17" t="b">
        <f t="shared" ref="J63:J71" si="50">IF(I63="TEE - Passagem Direta",1.8,IF(I63="União ou Redução",1.8,IF(I63="Conector Macho",1.6,IF(I63="Conector Fêmea",1.6,IF(I63="Conector Fêmea Giratório",1.6,IF(I63="Cotovelo",2.4,IF(I63="TEE - Passagem Angular",2.2,IF(I63="Cotovelo Macho",2.2,IF(I63="Cotovelo Fêmea",2.2,IF(I63="TEE - Entrada Central",3.2,IF(I63="F",3)))))))))))</f>
        <v>0</v>
      </c>
      <c r="K63" s="24">
        <f t="shared" ref="K63:K71" si="51">IF(V63&gt;0,0.316*((O63*V63)/(1000*0.0000157))^-0.25,50)</f>
        <v>50</v>
      </c>
      <c r="L63" s="17">
        <f t="shared" ref="L63:L71" si="52">J63*O63/(1000*K63)</f>
        <v>0</v>
      </c>
      <c r="M63" s="17">
        <f t="shared" ref="M63:M71" si="53">SUM(H63+L63)</f>
        <v>0</v>
      </c>
      <c r="N63" s="2">
        <v>26</v>
      </c>
      <c r="O63" s="22" t="str">
        <f t="shared" ref="O63:O71" si="54">IF(N63=16,"12",IF(N63=20,"16",IF(N63=26,"20",IF(N63=32,"26"))))</f>
        <v>20</v>
      </c>
      <c r="P63" s="17">
        <f>P59</f>
        <v>2.2000000000000002</v>
      </c>
      <c r="Q63" s="5">
        <v>0</v>
      </c>
      <c r="R63" s="17">
        <f>-1.318*10^-2*Q63*(0.6-1)</f>
        <v>0</v>
      </c>
      <c r="S63" s="128">
        <f>(2029.06*G63^1.8*0.6^0.8*M63)/O63^4.8+S62-R63</f>
        <v>0</v>
      </c>
      <c r="T63" s="17">
        <f>IFERROR((P63-S63),"-")</f>
        <v>2.2000000000000002</v>
      </c>
      <c r="U63" s="17" t="str">
        <f>IFERROR((S63 - R63)/M63,"-")</f>
        <v>-</v>
      </c>
      <c r="V63" s="17">
        <f>354*G63/O63^2</f>
        <v>0</v>
      </c>
      <c r="W63" s="150" t="str">
        <f t="shared" ref="W63:W71" si="55">IF(V63&gt;20,"Recalcular Diâmetro",IF(V63&lt;20,"Velocidade OK"))</f>
        <v>Velocidade OK</v>
      </c>
      <c r="X63" s="169" t="str">
        <f t="shared" ref="X63:X71" si="56">IF(C63&lt;1000,T63,"-")</f>
        <v>-</v>
      </c>
      <c r="Y63" s="12"/>
      <c r="Z63" s="12"/>
      <c r="AA63" s="12"/>
    </row>
    <row r="64" spans="2:29" x14ac:dyDescent="0.3">
      <c r="B64" s="14" t="s">
        <v>105</v>
      </c>
      <c r="C64" s="146" t="s">
        <v>107</v>
      </c>
      <c r="D64" s="3">
        <v>0</v>
      </c>
      <c r="E64" s="17">
        <v>100</v>
      </c>
      <c r="F64" s="25">
        <f t="shared" si="49"/>
        <v>0</v>
      </c>
      <c r="G64" s="17">
        <f t="shared" ref="G64:G71" si="57">(F64/8600)</f>
        <v>0</v>
      </c>
      <c r="H64" s="4">
        <v>0</v>
      </c>
      <c r="I64" s="93"/>
      <c r="J64" s="17" t="b">
        <f t="shared" si="50"/>
        <v>0</v>
      </c>
      <c r="K64" s="24">
        <f t="shared" si="51"/>
        <v>50</v>
      </c>
      <c r="L64" s="17">
        <f t="shared" si="52"/>
        <v>0</v>
      </c>
      <c r="M64" s="17">
        <f t="shared" si="53"/>
        <v>0</v>
      </c>
      <c r="N64" s="2">
        <v>20</v>
      </c>
      <c r="O64" s="22" t="str">
        <f t="shared" si="54"/>
        <v>16</v>
      </c>
      <c r="P64" s="17">
        <f>IFERROR(VLOOKUP(B64,$C$63:$W$71,18,FALSE),"-")</f>
        <v>2.2000000000000002</v>
      </c>
      <c r="Q64" s="5">
        <v>0</v>
      </c>
      <c r="R64" s="17">
        <f t="shared" ref="R64:R71" si="58">-1.318*10^-2*Q64*(0.6-1)</f>
        <v>0</v>
      </c>
      <c r="S64" s="128">
        <f>(2029.06*G64^1.8*0.6^0.8*M64)/O64^4.8-R64</f>
        <v>0</v>
      </c>
      <c r="T64" s="17">
        <f>IFERROR((P64-S64),"-")</f>
        <v>2.2000000000000002</v>
      </c>
      <c r="U64" s="17" t="str">
        <f t="shared" ref="U64:U71" si="59">IFERROR((S64 - R64)/M64,"-")</f>
        <v>-</v>
      </c>
      <c r="V64" s="17">
        <f t="shared" ref="V64:V71" si="60">354*G64/O64^2</f>
        <v>0</v>
      </c>
      <c r="W64" s="150" t="str">
        <f t="shared" si="55"/>
        <v>Velocidade OK</v>
      </c>
      <c r="X64" s="169" t="str">
        <f t="shared" si="56"/>
        <v>-</v>
      </c>
      <c r="Y64" s="12"/>
      <c r="Z64" s="12"/>
      <c r="AA64" s="12"/>
    </row>
    <row r="65" spans="2:31" x14ac:dyDescent="0.3">
      <c r="B65" s="14" t="s">
        <v>107</v>
      </c>
      <c r="C65" s="146" t="s">
        <v>108</v>
      </c>
      <c r="D65" s="3">
        <v>0</v>
      </c>
      <c r="E65" s="17">
        <v>100</v>
      </c>
      <c r="F65" s="25">
        <f t="shared" si="49"/>
        <v>0</v>
      </c>
      <c r="G65" s="17">
        <f t="shared" si="57"/>
        <v>0</v>
      </c>
      <c r="H65" s="4">
        <v>0</v>
      </c>
      <c r="I65" s="93"/>
      <c r="J65" s="17" t="b">
        <f t="shared" si="50"/>
        <v>0</v>
      </c>
      <c r="K65" s="24">
        <f t="shared" si="51"/>
        <v>50</v>
      </c>
      <c r="L65" s="17">
        <f t="shared" si="52"/>
        <v>0</v>
      </c>
      <c r="M65" s="17">
        <f t="shared" si="53"/>
        <v>0</v>
      </c>
      <c r="N65" s="2">
        <v>26</v>
      </c>
      <c r="O65" s="22" t="str">
        <f t="shared" si="54"/>
        <v>20</v>
      </c>
      <c r="P65" s="17">
        <f t="shared" ref="P65:P71" si="61">IFERROR(VLOOKUP(B65,$C$63:$W$71,18,FALSE),"-")</f>
        <v>2.2000000000000002</v>
      </c>
      <c r="Q65" s="5">
        <v>0</v>
      </c>
      <c r="R65" s="17">
        <f t="shared" si="58"/>
        <v>0</v>
      </c>
      <c r="S65" s="128">
        <f t="shared" ref="S65:S71" si="62">(2029.06*G65^1.8*0.6^0.8*M65)/O65^4.8-R65</f>
        <v>0</v>
      </c>
      <c r="T65" s="17">
        <f t="shared" ref="T65:T71" si="63">IFERROR((P65-S65),"-")</f>
        <v>2.2000000000000002</v>
      </c>
      <c r="U65" s="17" t="str">
        <f t="shared" si="59"/>
        <v>-</v>
      </c>
      <c r="V65" s="17">
        <f t="shared" si="60"/>
        <v>0</v>
      </c>
      <c r="W65" s="150" t="str">
        <f t="shared" si="55"/>
        <v>Velocidade OK</v>
      </c>
      <c r="X65" s="169" t="str">
        <f t="shared" si="56"/>
        <v>-</v>
      </c>
      <c r="Y65" s="12"/>
      <c r="Z65" s="12"/>
      <c r="AA65" s="12"/>
    </row>
    <row r="66" spans="2:31" x14ac:dyDescent="0.3">
      <c r="B66" s="14" t="s">
        <v>108</v>
      </c>
      <c r="C66" s="146" t="s">
        <v>112</v>
      </c>
      <c r="D66" s="3">
        <v>0</v>
      </c>
      <c r="E66" s="17">
        <v>100</v>
      </c>
      <c r="F66" s="25">
        <f t="shared" si="49"/>
        <v>0</v>
      </c>
      <c r="G66" s="156">
        <f t="shared" si="57"/>
        <v>0</v>
      </c>
      <c r="H66" s="4">
        <v>0</v>
      </c>
      <c r="I66" s="93"/>
      <c r="J66" s="17" t="b">
        <f t="shared" si="50"/>
        <v>0</v>
      </c>
      <c r="K66" s="24">
        <f t="shared" si="51"/>
        <v>50</v>
      </c>
      <c r="L66" s="17">
        <f t="shared" si="52"/>
        <v>0</v>
      </c>
      <c r="M66" s="17">
        <f t="shared" si="53"/>
        <v>0</v>
      </c>
      <c r="N66" s="2">
        <v>16</v>
      </c>
      <c r="O66" s="22" t="str">
        <f t="shared" si="54"/>
        <v>12</v>
      </c>
      <c r="P66" s="17">
        <f t="shared" si="61"/>
        <v>2.2000000000000002</v>
      </c>
      <c r="Q66" s="5">
        <v>0</v>
      </c>
      <c r="R66" s="17">
        <f t="shared" si="58"/>
        <v>0</v>
      </c>
      <c r="S66" s="128">
        <f t="shared" si="62"/>
        <v>0</v>
      </c>
      <c r="T66" s="17">
        <f t="shared" si="63"/>
        <v>2.2000000000000002</v>
      </c>
      <c r="U66" s="17" t="str">
        <f t="shared" si="59"/>
        <v>-</v>
      </c>
      <c r="V66" s="17">
        <f t="shared" si="60"/>
        <v>0</v>
      </c>
      <c r="W66" s="150" t="str">
        <f t="shared" si="55"/>
        <v>Velocidade OK</v>
      </c>
      <c r="X66" s="169" t="str">
        <f t="shared" si="56"/>
        <v>-</v>
      </c>
      <c r="Y66" s="12"/>
      <c r="Z66" s="12"/>
      <c r="AA66" s="12"/>
    </row>
    <row r="67" spans="2:31" x14ac:dyDescent="0.3">
      <c r="B67" s="14" t="s">
        <v>112</v>
      </c>
      <c r="C67" s="146" t="s">
        <v>111</v>
      </c>
      <c r="D67" s="3">
        <v>0</v>
      </c>
      <c r="E67" s="17">
        <v>100</v>
      </c>
      <c r="F67" s="154">
        <f t="shared" si="49"/>
        <v>0</v>
      </c>
      <c r="G67" s="17">
        <f t="shared" si="57"/>
        <v>0</v>
      </c>
      <c r="H67" s="155">
        <v>0</v>
      </c>
      <c r="I67" s="93"/>
      <c r="J67" s="17" t="b">
        <f t="shared" si="50"/>
        <v>0</v>
      </c>
      <c r="K67" s="24">
        <f t="shared" si="51"/>
        <v>50</v>
      </c>
      <c r="L67" s="17">
        <f t="shared" si="52"/>
        <v>0</v>
      </c>
      <c r="M67" s="17">
        <f t="shared" si="53"/>
        <v>0</v>
      </c>
      <c r="N67" s="2">
        <v>16</v>
      </c>
      <c r="O67" s="22" t="str">
        <f t="shared" si="54"/>
        <v>12</v>
      </c>
      <c r="P67" s="17">
        <f t="shared" si="61"/>
        <v>2.2000000000000002</v>
      </c>
      <c r="Q67" s="5">
        <v>0</v>
      </c>
      <c r="R67" s="17">
        <f t="shared" si="58"/>
        <v>0</v>
      </c>
      <c r="S67" s="128">
        <f t="shared" si="62"/>
        <v>0</v>
      </c>
      <c r="T67" s="17">
        <f t="shared" si="63"/>
        <v>2.2000000000000002</v>
      </c>
      <c r="U67" s="17" t="str">
        <f t="shared" si="59"/>
        <v>-</v>
      </c>
      <c r="V67" s="17">
        <f t="shared" si="60"/>
        <v>0</v>
      </c>
      <c r="W67" s="150" t="str">
        <f t="shared" si="55"/>
        <v>Velocidade OK</v>
      </c>
      <c r="X67" s="169" t="str">
        <f t="shared" si="56"/>
        <v>-</v>
      </c>
      <c r="Y67" s="12"/>
      <c r="Z67" s="12"/>
      <c r="AA67" s="12"/>
    </row>
    <row r="68" spans="2:31" x14ac:dyDescent="0.3">
      <c r="B68" s="14" t="s">
        <v>111</v>
      </c>
      <c r="C68" s="146" t="s">
        <v>113</v>
      </c>
      <c r="D68" s="3">
        <v>0</v>
      </c>
      <c r="E68" s="17">
        <v>100</v>
      </c>
      <c r="F68" s="25">
        <f t="shared" si="49"/>
        <v>0</v>
      </c>
      <c r="G68" s="59">
        <f t="shared" si="57"/>
        <v>0</v>
      </c>
      <c r="H68" s="4">
        <v>0</v>
      </c>
      <c r="I68" s="93"/>
      <c r="J68" s="17" t="b">
        <f t="shared" si="50"/>
        <v>0</v>
      </c>
      <c r="K68" s="24">
        <f t="shared" si="51"/>
        <v>50</v>
      </c>
      <c r="L68" s="17">
        <f t="shared" si="52"/>
        <v>0</v>
      </c>
      <c r="M68" s="17">
        <f t="shared" si="53"/>
        <v>0</v>
      </c>
      <c r="N68" s="2">
        <v>16</v>
      </c>
      <c r="O68" s="22" t="str">
        <f t="shared" si="54"/>
        <v>12</v>
      </c>
      <c r="P68" s="17">
        <f t="shared" si="61"/>
        <v>2.2000000000000002</v>
      </c>
      <c r="Q68" s="5">
        <v>0</v>
      </c>
      <c r="R68" s="17">
        <f t="shared" si="58"/>
        <v>0</v>
      </c>
      <c r="S68" s="128">
        <f t="shared" si="62"/>
        <v>0</v>
      </c>
      <c r="T68" s="17">
        <f t="shared" si="63"/>
        <v>2.2000000000000002</v>
      </c>
      <c r="U68" s="17" t="str">
        <f t="shared" si="59"/>
        <v>-</v>
      </c>
      <c r="V68" s="17">
        <f t="shared" si="60"/>
        <v>0</v>
      </c>
      <c r="W68" s="150" t="str">
        <f t="shared" si="55"/>
        <v>Velocidade OK</v>
      </c>
      <c r="X68" s="169" t="str">
        <f t="shared" si="56"/>
        <v>-</v>
      </c>
      <c r="Y68" s="148"/>
      <c r="Z68" s="12"/>
      <c r="AA68" s="12"/>
    </row>
    <row r="69" spans="2:31" s="79" customFormat="1" x14ac:dyDescent="0.3">
      <c r="B69" s="14" t="s">
        <v>113</v>
      </c>
      <c r="C69" s="146" t="s">
        <v>114</v>
      </c>
      <c r="D69" s="3">
        <v>0</v>
      </c>
      <c r="E69" s="17">
        <v>100</v>
      </c>
      <c r="F69" s="25">
        <f t="shared" ref="F69:F70" si="64">(D69*E69)/100</f>
        <v>0</v>
      </c>
      <c r="G69" s="17">
        <f t="shared" ref="G69:G70" si="65">(F69/8600)</f>
        <v>0</v>
      </c>
      <c r="H69" s="4">
        <v>0</v>
      </c>
      <c r="I69" s="93"/>
      <c r="J69" s="17" t="b">
        <f t="shared" si="50"/>
        <v>0</v>
      </c>
      <c r="K69" s="24">
        <f t="shared" ref="K69:K70" si="66">IF(V69&gt;0,0.316*((O69*V69)/(1000*0.0000157))^-0.25,50)</f>
        <v>50</v>
      </c>
      <c r="L69" s="17">
        <f t="shared" ref="L69:L70" si="67">J69*O69/(1000*K69)</f>
        <v>0</v>
      </c>
      <c r="M69" s="17">
        <f t="shared" ref="M69:M70" si="68">SUM(H69+L69)</f>
        <v>0</v>
      </c>
      <c r="N69" s="2">
        <v>16</v>
      </c>
      <c r="O69" s="22" t="str">
        <f t="shared" ref="O69:O70" si="69">IF(N69=16,"12",IF(N69=20,"16",IF(N69=26,"20",IF(N69=32,"26"))))</f>
        <v>12</v>
      </c>
      <c r="P69" s="17">
        <f t="shared" si="61"/>
        <v>2.2000000000000002</v>
      </c>
      <c r="Q69" s="5">
        <v>0</v>
      </c>
      <c r="R69" s="17">
        <f t="shared" si="58"/>
        <v>0</v>
      </c>
      <c r="S69" s="128">
        <f t="shared" si="62"/>
        <v>0</v>
      </c>
      <c r="T69" s="17">
        <f t="shared" si="63"/>
        <v>2.2000000000000002</v>
      </c>
      <c r="U69" s="17" t="str">
        <f t="shared" si="59"/>
        <v>-</v>
      </c>
      <c r="V69" s="17">
        <f t="shared" si="60"/>
        <v>0</v>
      </c>
      <c r="W69" s="150" t="str">
        <f t="shared" ref="W69:W70" si="70">IF(V69&gt;20,"Recalcular Diâmetro",IF(V69&lt;20,"Velocidade OK"))</f>
        <v>Velocidade OK</v>
      </c>
      <c r="X69" s="169" t="str">
        <f t="shared" si="56"/>
        <v>-</v>
      </c>
      <c r="Y69" s="12"/>
      <c r="Z69" s="12"/>
      <c r="AA69" s="12"/>
    </row>
    <row r="70" spans="2:31" s="79" customFormat="1" x14ac:dyDescent="0.3">
      <c r="B70" s="14" t="s">
        <v>114</v>
      </c>
      <c r="C70" s="146" t="s">
        <v>115</v>
      </c>
      <c r="D70" s="3">
        <v>0</v>
      </c>
      <c r="E70" s="17">
        <v>100</v>
      </c>
      <c r="F70" s="25">
        <f t="shared" si="64"/>
        <v>0</v>
      </c>
      <c r="G70" s="17">
        <f t="shared" si="65"/>
        <v>0</v>
      </c>
      <c r="H70" s="4">
        <v>0</v>
      </c>
      <c r="I70" s="93"/>
      <c r="J70" s="17" t="b">
        <f t="shared" si="50"/>
        <v>0</v>
      </c>
      <c r="K70" s="24">
        <f t="shared" si="66"/>
        <v>50</v>
      </c>
      <c r="L70" s="17">
        <f t="shared" si="67"/>
        <v>0</v>
      </c>
      <c r="M70" s="17">
        <f t="shared" si="68"/>
        <v>0</v>
      </c>
      <c r="N70" s="2">
        <v>16</v>
      </c>
      <c r="O70" s="22" t="str">
        <f t="shared" si="69"/>
        <v>12</v>
      </c>
      <c r="P70" s="17">
        <f t="shared" si="61"/>
        <v>2.2000000000000002</v>
      </c>
      <c r="Q70" s="5">
        <v>0</v>
      </c>
      <c r="R70" s="17">
        <f t="shared" si="58"/>
        <v>0</v>
      </c>
      <c r="S70" s="128">
        <f t="shared" si="62"/>
        <v>0</v>
      </c>
      <c r="T70" s="17">
        <f t="shared" si="63"/>
        <v>2.2000000000000002</v>
      </c>
      <c r="U70" s="17" t="str">
        <f t="shared" si="59"/>
        <v>-</v>
      </c>
      <c r="V70" s="17">
        <f t="shared" si="60"/>
        <v>0</v>
      </c>
      <c r="W70" s="150" t="str">
        <f t="shared" si="70"/>
        <v>Velocidade OK</v>
      </c>
      <c r="X70" s="169" t="str">
        <f t="shared" si="56"/>
        <v>-</v>
      </c>
      <c r="Y70" s="12"/>
      <c r="Z70" s="12"/>
      <c r="AA70" s="12"/>
    </row>
    <row r="71" spans="2:31" ht="15" thickBot="1" x14ac:dyDescent="0.35">
      <c r="B71" s="176" t="s">
        <v>115</v>
      </c>
      <c r="C71" s="177" t="s">
        <v>116</v>
      </c>
      <c r="D71" s="65">
        <v>0</v>
      </c>
      <c r="E71" s="20">
        <v>100</v>
      </c>
      <c r="F71" s="26">
        <f t="shared" si="49"/>
        <v>0</v>
      </c>
      <c r="G71" s="20">
        <f t="shared" si="57"/>
        <v>0</v>
      </c>
      <c r="H71" s="66">
        <v>0</v>
      </c>
      <c r="I71" s="141"/>
      <c r="J71" s="20" t="b">
        <f t="shared" si="50"/>
        <v>0</v>
      </c>
      <c r="K71" s="67">
        <f t="shared" si="51"/>
        <v>50</v>
      </c>
      <c r="L71" s="20">
        <f t="shared" si="52"/>
        <v>0</v>
      </c>
      <c r="M71" s="20">
        <f t="shared" si="53"/>
        <v>0</v>
      </c>
      <c r="N71" s="142">
        <v>16</v>
      </c>
      <c r="O71" s="23" t="str">
        <f t="shared" si="54"/>
        <v>12</v>
      </c>
      <c r="P71" s="20">
        <f t="shared" si="61"/>
        <v>2.2000000000000002</v>
      </c>
      <c r="Q71" s="15">
        <v>0</v>
      </c>
      <c r="R71" s="20">
        <f t="shared" si="58"/>
        <v>0</v>
      </c>
      <c r="S71" s="128">
        <f t="shared" si="62"/>
        <v>0</v>
      </c>
      <c r="T71" s="17">
        <f t="shared" si="63"/>
        <v>2.2000000000000002</v>
      </c>
      <c r="U71" s="20" t="str">
        <f t="shared" si="59"/>
        <v>-</v>
      </c>
      <c r="V71" s="20">
        <f t="shared" si="60"/>
        <v>0</v>
      </c>
      <c r="W71" s="151" t="str">
        <f t="shared" si="55"/>
        <v>Velocidade OK</v>
      </c>
      <c r="X71" s="170" t="str">
        <f t="shared" si="56"/>
        <v>-</v>
      </c>
      <c r="Y71" s="12"/>
      <c r="Z71" s="12"/>
      <c r="AA71" s="12"/>
    </row>
    <row r="72" spans="2:31" ht="21.6" thickBot="1" x14ac:dyDescent="0.45">
      <c r="B72" s="7"/>
      <c r="C72" s="7"/>
      <c r="D72" s="53"/>
      <c r="E72" s="54"/>
      <c r="F72" s="54"/>
      <c r="G72" s="55"/>
      <c r="H72" s="54"/>
      <c r="I72" s="34"/>
      <c r="J72" s="41"/>
      <c r="K72" s="34"/>
      <c r="L72" s="34"/>
      <c r="M72" s="56"/>
      <c r="N72" s="56"/>
      <c r="O72" s="56"/>
      <c r="P72" s="57"/>
      <c r="Q72" s="58"/>
      <c r="R72" s="58"/>
      <c r="S72" s="58"/>
      <c r="T72" s="58"/>
      <c r="U72" s="58"/>
      <c r="V72" s="58"/>
      <c r="W72" s="58"/>
    </row>
    <row r="73" spans="2:31" ht="15" customHeight="1" x14ac:dyDescent="0.3">
      <c r="B73" s="7"/>
      <c r="C73" s="7"/>
      <c r="D73" s="30" t="s">
        <v>30</v>
      </c>
      <c r="E73" s="31"/>
      <c r="F73" s="31"/>
      <c r="G73" s="31"/>
      <c r="H73" s="32"/>
      <c r="I73" s="34"/>
      <c r="J73" s="41"/>
      <c r="K73" s="34"/>
      <c r="L73" s="34"/>
      <c r="M73" s="265" t="s">
        <v>119</v>
      </c>
      <c r="N73" s="266"/>
      <c r="O73" s="266"/>
      <c r="P73" s="267"/>
      <c r="Q73" s="252">
        <f>P63-D74</f>
        <v>1.9800000000000002</v>
      </c>
      <c r="R73" s="152"/>
      <c r="S73" s="152"/>
      <c r="T73" s="152"/>
      <c r="U73" s="152"/>
      <c r="V73" s="152"/>
      <c r="W73" s="152"/>
    </row>
    <row r="74" spans="2:31" ht="21.6" thickBot="1" x14ac:dyDescent="0.45">
      <c r="B74" s="7"/>
      <c r="C74" s="7"/>
      <c r="D74" s="35">
        <f>P59*0.1</f>
        <v>0.22000000000000003</v>
      </c>
      <c r="E74" s="36"/>
      <c r="F74" s="36"/>
      <c r="G74" s="37" t="s">
        <v>93</v>
      </c>
      <c r="H74" s="38"/>
      <c r="I74" s="34"/>
      <c r="J74" s="41"/>
      <c r="K74" s="34"/>
      <c r="L74" s="34"/>
      <c r="M74" s="268"/>
      <c r="N74" s="269"/>
      <c r="O74" s="269"/>
      <c r="P74" s="270"/>
      <c r="Q74" s="253"/>
      <c r="R74" s="152"/>
      <c r="S74" s="152"/>
      <c r="T74" s="152"/>
      <c r="U74" s="152"/>
      <c r="V74" s="152"/>
      <c r="W74" s="152"/>
    </row>
    <row r="75" spans="2:31" ht="21" x14ac:dyDescent="0.4">
      <c r="B75" s="7"/>
      <c r="C75" s="7"/>
      <c r="D75" s="53"/>
      <c r="E75" s="54"/>
      <c r="F75" s="54"/>
      <c r="G75" s="55"/>
      <c r="H75" s="54"/>
      <c r="I75" s="34"/>
      <c r="J75" s="41"/>
      <c r="K75" s="34"/>
      <c r="L75" s="34"/>
      <c r="M75" s="56"/>
      <c r="N75" s="56"/>
      <c r="O75" s="56"/>
      <c r="P75" s="57"/>
      <c r="Q75" s="58"/>
      <c r="R75" s="58"/>
      <c r="S75" s="58"/>
      <c r="T75" s="58"/>
      <c r="U75" s="58"/>
      <c r="V75" s="58"/>
      <c r="W75" s="58"/>
    </row>
    <row r="76" spans="2:31" ht="21" customHeight="1" thickBot="1" x14ac:dyDescent="0.35"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10"/>
      <c r="N76" s="107"/>
      <c r="O76" s="107"/>
      <c r="P76" s="107"/>
      <c r="Q76" s="58"/>
      <c r="R76" s="58"/>
      <c r="S76" s="58"/>
      <c r="T76" s="58"/>
      <c r="U76" s="58"/>
      <c r="V76" s="58"/>
      <c r="W76" s="58"/>
    </row>
    <row r="77" spans="2:31" ht="21" customHeight="1" thickBot="1" x14ac:dyDescent="0.35">
      <c r="B77" s="226" t="s">
        <v>26</v>
      </c>
      <c r="C77" s="227"/>
      <c r="D77" s="228"/>
      <c r="E77" s="228"/>
      <c r="F77" s="228"/>
      <c r="G77" s="228"/>
      <c r="H77" s="228"/>
      <c r="I77" s="228"/>
      <c r="J77" s="229"/>
      <c r="K77" s="107"/>
      <c r="L77" s="107"/>
      <c r="M77" s="111"/>
      <c r="N77" s="110"/>
      <c r="O77" s="107"/>
      <c r="P77" s="107"/>
      <c r="Q77" s="27"/>
      <c r="R77" s="27"/>
      <c r="S77" s="27"/>
      <c r="T77" s="27"/>
    </row>
    <row r="78" spans="2:31" ht="18.75" customHeight="1" thickBot="1" x14ac:dyDescent="0.35">
      <c r="B78" s="108"/>
      <c r="C78" s="11"/>
      <c r="D78" s="54"/>
      <c r="E78" s="54"/>
      <c r="F78" s="54"/>
      <c r="G78" s="54"/>
      <c r="H78" s="54"/>
      <c r="I78" s="54"/>
      <c r="J78" s="113"/>
      <c r="K78" s="107"/>
      <c r="L78" s="107"/>
      <c r="M78" s="111"/>
      <c r="N78" s="107"/>
      <c r="O78" s="107"/>
      <c r="P78" s="107"/>
      <c r="S78" s="6"/>
      <c r="T78" s="6"/>
    </row>
    <row r="79" spans="2:31" ht="15" customHeight="1" x14ac:dyDescent="0.3">
      <c r="B79" s="230" t="s">
        <v>97</v>
      </c>
      <c r="C79" s="231"/>
      <c r="D79" s="232"/>
      <c r="E79" s="232"/>
      <c r="F79" s="232"/>
      <c r="G79" s="232"/>
      <c r="H79" s="232"/>
      <c r="I79" s="232"/>
      <c r="J79" s="233"/>
      <c r="K79" s="107"/>
      <c r="L79" s="107"/>
      <c r="M79" s="111"/>
      <c r="N79" s="107"/>
      <c r="O79" s="107"/>
      <c r="P79" s="107"/>
    </row>
    <row r="80" spans="2:31" ht="15" customHeight="1" x14ac:dyDescent="0.3">
      <c r="B80" s="234"/>
      <c r="C80" s="235"/>
      <c r="D80" s="235"/>
      <c r="E80" s="235"/>
      <c r="F80" s="235"/>
      <c r="G80" s="235"/>
      <c r="H80" s="235"/>
      <c r="I80" s="235"/>
      <c r="J80" s="236"/>
      <c r="K80" s="107"/>
      <c r="L80" s="107"/>
      <c r="M80" s="111"/>
      <c r="N80" s="107"/>
      <c r="O80" s="107"/>
      <c r="P80" s="107"/>
      <c r="W80" s="106"/>
      <c r="X80" s="106"/>
      <c r="Y80" s="106"/>
      <c r="Z80" s="106"/>
      <c r="AA80" s="106"/>
      <c r="AB80" s="106"/>
      <c r="AC80" s="106"/>
      <c r="AD80" s="106"/>
      <c r="AE80" s="106"/>
    </row>
    <row r="81" spans="2:31" ht="15" customHeight="1" x14ac:dyDescent="0.3">
      <c r="B81" s="234"/>
      <c r="C81" s="235"/>
      <c r="D81" s="235"/>
      <c r="E81" s="235"/>
      <c r="F81" s="235"/>
      <c r="G81" s="235"/>
      <c r="H81" s="235"/>
      <c r="I81" s="235"/>
      <c r="J81" s="236"/>
      <c r="K81" s="107"/>
      <c r="L81" s="107"/>
      <c r="M81" s="111"/>
      <c r="N81" s="107"/>
      <c r="O81" s="107"/>
      <c r="P81" s="107"/>
      <c r="W81" s="106"/>
      <c r="X81" s="106"/>
      <c r="Y81" s="106"/>
      <c r="Z81" s="106"/>
      <c r="AA81" s="106"/>
      <c r="AB81" s="106"/>
      <c r="AC81" s="106"/>
      <c r="AD81" s="106"/>
      <c r="AE81" s="106"/>
    </row>
    <row r="82" spans="2:31" ht="15.75" customHeight="1" x14ac:dyDescent="0.3">
      <c r="B82" s="234"/>
      <c r="C82" s="235"/>
      <c r="D82" s="235"/>
      <c r="E82" s="235"/>
      <c r="F82" s="235"/>
      <c r="G82" s="235"/>
      <c r="H82" s="235"/>
      <c r="I82" s="235"/>
      <c r="J82" s="236"/>
      <c r="K82" s="107"/>
      <c r="L82" s="107"/>
      <c r="M82" s="111"/>
      <c r="N82" s="107"/>
      <c r="O82" s="107"/>
      <c r="P82" s="107"/>
      <c r="W82" s="106"/>
      <c r="X82" s="106"/>
      <c r="Y82" s="106"/>
      <c r="Z82" s="106"/>
      <c r="AA82" s="106"/>
      <c r="AB82" s="106"/>
      <c r="AC82" s="106"/>
      <c r="AD82" s="106"/>
      <c r="AE82" s="106"/>
    </row>
    <row r="83" spans="2:31" ht="15" customHeight="1" thickBot="1" x14ac:dyDescent="0.35">
      <c r="B83" s="237"/>
      <c r="C83" s="238"/>
      <c r="D83" s="238"/>
      <c r="E83" s="238"/>
      <c r="F83" s="238"/>
      <c r="G83" s="238"/>
      <c r="H83" s="238"/>
      <c r="I83" s="238"/>
      <c r="J83" s="239"/>
      <c r="K83" s="107"/>
      <c r="L83" s="107"/>
      <c r="M83" s="111"/>
      <c r="N83" s="107"/>
      <c r="O83" s="107"/>
      <c r="P83" s="107"/>
      <c r="W83" s="106"/>
      <c r="X83" s="106"/>
      <c r="Y83" s="106"/>
      <c r="Z83" s="106"/>
      <c r="AA83" s="106"/>
      <c r="AB83" s="106"/>
      <c r="AC83" s="106"/>
      <c r="AD83" s="106"/>
      <c r="AE83" s="106"/>
    </row>
    <row r="84" spans="2:31" ht="15" customHeight="1" thickBot="1" x14ac:dyDescent="0.35">
      <c r="B84" s="109"/>
      <c r="C84" s="147"/>
      <c r="D84" s="54"/>
      <c r="E84" s="54"/>
      <c r="F84" s="54"/>
      <c r="G84" s="54"/>
      <c r="H84" s="54"/>
      <c r="I84" s="54"/>
      <c r="J84" s="113"/>
      <c r="K84" s="107"/>
      <c r="L84" s="107"/>
      <c r="M84" s="111"/>
      <c r="N84" s="107"/>
      <c r="O84" s="107"/>
      <c r="P84" s="107"/>
      <c r="W84" s="106"/>
      <c r="X84" s="106"/>
      <c r="Y84" s="106"/>
      <c r="Z84" s="106"/>
      <c r="AA84" s="106"/>
      <c r="AB84" s="106"/>
      <c r="AC84" s="106"/>
      <c r="AD84" s="106"/>
      <c r="AE84" s="106"/>
    </row>
    <row r="85" spans="2:31" ht="15" customHeight="1" x14ac:dyDescent="0.3">
      <c r="B85" s="230" t="s">
        <v>98</v>
      </c>
      <c r="C85" s="231"/>
      <c r="D85" s="232"/>
      <c r="E85" s="232"/>
      <c r="F85" s="232"/>
      <c r="G85" s="232"/>
      <c r="H85" s="232"/>
      <c r="I85" s="232"/>
      <c r="J85" s="233"/>
      <c r="K85" s="107"/>
      <c r="L85" s="107"/>
      <c r="M85" s="111"/>
      <c r="N85" s="107"/>
      <c r="O85" s="107"/>
      <c r="P85" s="107"/>
      <c r="W85" s="106"/>
      <c r="X85" s="106"/>
      <c r="Y85" s="106"/>
      <c r="Z85" s="106"/>
      <c r="AA85" s="106"/>
      <c r="AB85" s="106"/>
      <c r="AC85" s="106"/>
      <c r="AD85" s="106"/>
      <c r="AE85" s="106"/>
    </row>
    <row r="86" spans="2:31" ht="15.75" customHeight="1" thickBot="1" x14ac:dyDescent="0.35">
      <c r="B86" s="237"/>
      <c r="C86" s="238"/>
      <c r="D86" s="238"/>
      <c r="E86" s="238"/>
      <c r="F86" s="238"/>
      <c r="G86" s="238"/>
      <c r="H86" s="238"/>
      <c r="I86" s="238"/>
      <c r="J86" s="239"/>
      <c r="K86" s="107"/>
      <c r="L86" s="107"/>
      <c r="M86" s="111"/>
      <c r="N86" s="107"/>
      <c r="O86" s="107"/>
      <c r="P86" s="107"/>
      <c r="W86" s="106"/>
      <c r="X86" s="106"/>
      <c r="Y86" s="106"/>
      <c r="Z86" s="106"/>
      <c r="AA86" s="106"/>
      <c r="AB86" s="106"/>
      <c r="AC86" s="106"/>
      <c r="AD86" s="106"/>
      <c r="AE86" s="106"/>
    </row>
    <row r="87" spans="2:31" ht="15" customHeight="1" thickBot="1" x14ac:dyDescent="0.35">
      <c r="B87" s="108"/>
      <c r="C87" s="11"/>
      <c r="D87" s="54"/>
      <c r="E87" s="54"/>
      <c r="F87" s="54"/>
      <c r="G87" s="54"/>
      <c r="H87" s="54"/>
      <c r="I87" s="54"/>
      <c r="J87" s="113"/>
      <c r="K87" s="107"/>
      <c r="L87" s="107"/>
      <c r="M87" s="111"/>
      <c r="N87" s="107"/>
      <c r="O87" s="107"/>
      <c r="P87" s="107"/>
      <c r="W87" s="106"/>
      <c r="X87" s="106"/>
      <c r="Y87" s="106"/>
      <c r="Z87" s="106"/>
      <c r="AA87" s="106"/>
      <c r="AB87" s="106"/>
      <c r="AC87" s="106"/>
      <c r="AD87" s="106"/>
      <c r="AE87" s="106"/>
    </row>
    <row r="88" spans="2:31" ht="15" customHeight="1" x14ac:dyDescent="0.3">
      <c r="B88" s="230" t="s">
        <v>28</v>
      </c>
      <c r="C88" s="231"/>
      <c r="D88" s="232"/>
      <c r="E88" s="232"/>
      <c r="F88" s="232"/>
      <c r="G88" s="232"/>
      <c r="H88" s="232"/>
      <c r="I88" s="232"/>
      <c r="J88" s="233"/>
      <c r="K88" s="107"/>
      <c r="L88" s="107"/>
      <c r="M88" s="111"/>
      <c r="N88" s="107"/>
      <c r="O88" s="107"/>
      <c r="P88" s="107"/>
      <c r="W88" s="106"/>
      <c r="X88" s="106"/>
      <c r="Y88" s="106"/>
      <c r="Z88" s="106"/>
      <c r="AA88" s="106"/>
      <c r="AB88" s="106"/>
      <c r="AC88" s="106"/>
      <c r="AD88" s="106"/>
      <c r="AE88" s="106"/>
    </row>
    <row r="89" spans="2:31" ht="15" customHeight="1" thickBot="1" x14ac:dyDescent="0.35">
      <c r="B89" s="237"/>
      <c r="C89" s="238"/>
      <c r="D89" s="238"/>
      <c r="E89" s="238"/>
      <c r="F89" s="238"/>
      <c r="G89" s="238"/>
      <c r="H89" s="238"/>
      <c r="I89" s="238"/>
      <c r="J89" s="239"/>
      <c r="K89" s="107"/>
      <c r="L89" s="107"/>
      <c r="M89" s="111"/>
      <c r="N89" s="107"/>
      <c r="O89" s="107"/>
      <c r="P89" s="107"/>
      <c r="W89" s="106"/>
      <c r="X89" s="106"/>
      <c r="Y89" s="106"/>
      <c r="Z89" s="106"/>
      <c r="AA89" s="106"/>
      <c r="AB89" s="106"/>
      <c r="AC89" s="106"/>
      <c r="AD89" s="106"/>
      <c r="AE89" s="106"/>
    </row>
    <row r="90" spans="2:31" ht="15.75" customHeight="1" thickBot="1" x14ac:dyDescent="0.35">
      <c r="B90" s="108"/>
      <c r="C90" s="11"/>
      <c r="D90" s="54"/>
      <c r="E90" s="54"/>
      <c r="F90" s="54"/>
      <c r="G90" s="54"/>
      <c r="H90" s="54"/>
      <c r="I90" s="54"/>
      <c r="J90" s="113"/>
      <c r="K90" s="107"/>
      <c r="L90" s="107"/>
      <c r="M90" s="111"/>
      <c r="N90" s="107"/>
      <c r="O90" s="107"/>
      <c r="P90" s="107"/>
      <c r="W90" s="106"/>
      <c r="X90" s="106"/>
      <c r="Y90" s="106"/>
      <c r="Z90" s="106"/>
      <c r="AA90" s="106"/>
      <c r="AB90" s="106"/>
      <c r="AC90" s="106"/>
      <c r="AD90" s="106"/>
      <c r="AE90" s="106"/>
    </row>
    <row r="91" spans="2:31" ht="15" customHeight="1" x14ac:dyDescent="0.3">
      <c r="B91" s="230" t="s">
        <v>29</v>
      </c>
      <c r="C91" s="231"/>
      <c r="D91" s="232"/>
      <c r="E91" s="232"/>
      <c r="F91" s="232"/>
      <c r="G91" s="232"/>
      <c r="H91" s="232"/>
      <c r="I91" s="232"/>
      <c r="J91" s="233"/>
      <c r="K91" s="107"/>
      <c r="L91" s="107"/>
      <c r="M91" s="111"/>
      <c r="N91" s="107"/>
      <c r="O91" s="107"/>
      <c r="P91" s="107"/>
      <c r="W91" s="106"/>
      <c r="X91" s="106"/>
      <c r="Y91" s="106"/>
      <c r="Z91" s="106"/>
      <c r="AA91" s="106"/>
      <c r="AB91" s="106"/>
      <c r="AC91" s="106"/>
      <c r="AD91" s="106"/>
      <c r="AE91" s="106"/>
    </row>
    <row r="92" spans="2:31" ht="15" customHeight="1" thickBot="1" x14ac:dyDescent="0.35">
      <c r="B92" s="237"/>
      <c r="C92" s="238"/>
      <c r="D92" s="238"/>
      <c r="E92" s="238"/>
      <c r="F92" s="238"/>
      <c r="G92" s="238"/>
      <c r="H92" s="238"/>
      <c r="I92" s="238"/>
      <c r="J92" s="239"/>
      <c r="K92" s="107"/>
      <c r="L92" s="107"/>
      <c r="M92" s="111"/>
      <c r="N92" s="107"/>
      <c r="O92" s="107"/>
      <c r="P92" s="107"/>
      <c r="W92" s="106"/>
      <c r="X92" s="106"/>
      <c r="Y92" s="106"/>
      <c r="Z92" s="106"/>
      <c r="AA92" s="106"/>
      <c r="AB92" s="106"/>
      <c r="AC92" s="106"/>
      <c r="AD92" s="106"/>
      <c r="AE92" s="106"/>
    </row>
    <row r="93" spans="2:31" ht="15" customHeight="1" thickBot="1" x14ac:dyDescent="0.35">
      <c r="B93" s="108"/>
      <c r="C93" s="11"/>
      <c r="D93" s="54"/>
      <c r="E93" s="54"/>
      <c r="F93" s="54"/>
      <c r="G93" s="54"/>
      <c r="H93" s="54"/>
      <c r="I93" s="54"/>
      <c r="J93" s="113"/>
      <c r="K93" s="107"/>
      <c r="L93" s="107"/>
      <c r="M93" s="111"/>
      <c r="N93" s="107"/>
      <c r="O93" s="107"/>
      <c r="P93" s="107"/>
      <c r="W93" s="106"/>
      <c r="X93" s="106"/>
      <c r="Y93" s="106"/>
      <c r="Z93" s="106"/>
      <c r="AA93" s="106"/>
      <c r="AB93" s="106"/>
      <c r="AC93" s="106"/>
      <c r="AD93" s="106"/>
      <c r="AE93" s="106"/>
    </row>
    <row r="94" spans="2:31" ht="15.75" customHeight="1" thickBot="1" x14ac:dyDescent="0.35">
      <c r="B94" s="271" t="s">
        <v>162</v>
      </c>
      <c r="C94" s="272"/>
      <c r="D94" s="228"/>
      <c r="E94" s="228"/>
      <c r="F94" s="228"/>
      <c r="G94" s="228"/>
      <c r="H94" s="228"/>
      <c r="I94" s="228"/>
      <c r="J94" s="229"/>
      <c r="K94" s="107"/>
      <c r="L94" s="107"/>
      <c r="M94" s="111"/>
      <c r="N94" s="107"/>
      <c r="O94" s="107"/>
      <c r="P94" s="107"/>
      <c r="W94" s="106"/>
      <c r="X94" s="106"/>
      <c r="Y94" s="106"/>
      <c r="Z94" s="106"/>
      <c r="AA94" s="106"/>
      <c r="AB94" s="106"/>
      <c r="AC94" s="106"/>
      <c r="AD94" s="106"/>
      <c r="AE94" s="106"/>
    </row>
    <row r="95" spans="2:31" ht="15" customHeight="1" thickBot="1" x14ac:dyDescent="0.35">
      <c r="B95" s="34"/>
      <c r="C95" s="34"/>
      <c r="D95" s="34"/>
      <c r="E95" s="34"/>
      <c r="F95" s="34"/>
      <c r="G95" s="34"/>
      <c r="H95" s="273" t="s">
        <v>47</v>
      </c>
      <c r="I95" s="228"/>
      <c r="J95" s="229"/>
      <c r="K95" s="107"/>
      <c r="L95" s="107"/>
      <c r="M95" s="111"/>
      <c r="N95" s="107"/>
      <c r="O95" s="107"/>
      <c r="P95" s="107"/>
      <c r="W95" s="106"/>
      <c r="X95" s="106"/>
      <c r="Y95" s="106"/>
      <c r="Z95" s="106"/>
      <c r="AA95" s="106"/>
      <c r="AB95" s="106"/>
      <c r="AC95" s="106"/>
      <c r="AD95" s="106"/>
      <c r="AE95" s="106"/>
    </row>
    <row r="96" spans="2:31" ht="15" customHeight="1" x14ac:dyDescent="0.3"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W96" s="106"/>
      <c r="X96" s="106"/>
      <c r="Y96" s="106"/>
      <c r="Z96" s="106"/>
      <c r="AA96" s="106"/>
      <c r="AB96" s="106"/>
      <c r="AC96" s="106"/>
      <c r="AD96" s="106"/>
      <c r="AE96" s="106"/>
    </row>
    <row r="97" spans="2:31" ht="15" customHeight="1" x14ac:dyDescent="0.3"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W97" s="106"/>
      <c r="X97" s="106"/>
      <c r="Y97" s="106"/>
      <c r="Z97" s="106"/>
      <c r="AA97" s="106"/>
      <c r="AB97" s="106"/>
      <c r="AC97" s="106"/>
      <c r="AD97" s="106"/>
      <c r="AE97" s="106"/>
    </row>
    <row r="98" spans="2:31" ht="15.75" customHeight="1" x14ac:dyDescent="0.3"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W98" s="106"/>
      <c r="X98" s="106"/>
      <c r="Y98" s="106"/>
      <c r="Z98" s="106"/>
      <c r="AA98" s="106"/>
      <c r="AB98" s="106"/>
      <c r="AC98" s="106"/>
      <c r="AD98" s="106"/>
      <c r="AE98" s="106"/>
    </row>
    <row r="99" spans="2:31" ht="15.75" customHeight="1" x14ac:dyDescent="0.3">
      <c r="B99" s="107"/>
      <c r="C99" s="107"/>
      <c r="D99" s="114" t="s">
        <v>60</v>
      </c>
      <c r="E99" s="114">
        <v>9000</v>
      </c>
      <c r="F99" s="115"/>
      <c r="G99" s="115"/>
      <c r="H99" s="115"/>
      <c r="I99" s="114">
        <v>9000</v>
      </c>
      <c r="J99" s="107"/>
      <c r="K99" s="107"/>
      <c r="L99" s="107"/>
      <c r="M99" s="107"/>
      <c r="N99" s="107"/>
      <c r="O99" s="107"/>
      <c r="P99" s="107"/>
      <c r="W99" s="106"/>
      <c r="X99" s="106"/>
      <c r="Y99" s="106"/>
      <c r="Z99" s="106"/>
      <c r="AA99" s="106"/>
      <c r="AB99" s="106"/>
      <c r="AC99" s="106"/>
      <c r="AD99" s="106"/>
      <c r="AE99" s="106"/>
    </row>
    <row r="100" spans="2:31" s="99" customFormat="1" ht="15.75" customHeight="1" x14ac:dyDescent="0.3">
      <c r="B100" s="107"/>
      <c r="C100" s="107"/>
      <c r="D100" s="114" t="s">
        <v>79</v>
      </c>
      <c r="E100" s="114">
        <v>12000</v>
      </c>
      <c r="F100" s="115"/>
      <c r="G100" s="115"/>
      <c r="H100" s="115"/>
      <c r="I100" s="114">
        <v>11500</v>
      </c>
      <c r="J100" s="107"/>
      <c r="K100" s="107"/>
      <c r="L100" s="107"/>
      <c r="M100" s="107"/>
      <c r="N100" s="107"/>
      <c r="O100" s="107"/>
      <c r="P100" s="107"/>
      <c r="W100" s="106"/>
      <c r="X100" s="106"/>
      <c r="Y100" s="106"/>
      <c r="Z100" s="106"/>
      <c r="AA100" s="106"/>
      <c r="AB100" s="106"/>
      <c r="AC100" s="106"/>
      <c r="AD100" s="106"/>
      <c r="AE100" s="106"/>
    </row>
    <row r="101" spans="2:31" ht="15" customHeight="1" x14ac:dyDescent="0.3">
      <c r="B101" s="107"/>
      <c r="C101" s="107"/>
      <c r="D101" s="114" t="s">
        <v>61</v>
      </c>
      <c r="E101" s="114">
        <v>12000</v>
      </c>
      <c r="F101" s="115"/>
      <c r="G101" s="115"/>
      <c r="H101" s="115"/>
      <c r="I101" s="114">
        <v>12000</v>
      </c>
      <c r="J101" s="107"/>
      <c r="K101" s="107"/>
      <c r="L101" s="107"/>
      <c r="M101" s="107"/>
      <c r="N101" s="107"/>
      <c r="O101" s="107"/>
      <c r="P101" s="107"/>
      <c r="W101" s="106"/>
      <c r="X101" s="106"/>
      <c r="Y101" s="106"/>
      <c r="Z101" s="106"/>
      <c r="AA101" s="106"/>
      <c r="AB101" s="106"/>
      <c r="AC101" s="106"/>
      <c r="AD101" s="106"/>
      <c r="AE101" s="106"/>
    </row>
    <row r="102" spans="2:31" ht="15" customHeight="1" x14ac:dyDescent="0.35">
      <c r="B102" s="107"/>
      <c r="C102" s="107"/>
      <c r="D102" s="114" t="s">
        <v>62</v>
      </c>
      <c r="E102" s="114">
        <v>15000</v>
      </c>
      <c r="F102" s="115"/>
      <c r="G102" s="115"/>
      <c r="H102" s="115"/>
      <c r="I102" s="114">
        <v>15000</v>
      </c>
      <c r="J102" s="107"/>
      <c r="K102" s="107"/>
      <c r="L102" s="107"/>
      <c r="M102" s="107"/>
      <c r="N102" s="107"/>
      <c r="O102" s="107"/>
      <c r="P102" s="107"/>
      <c r="S102" s="28"/>
      <c r="T102" s="29"/>
      <c r="U102" s="29"/>
      <c r="V102" s="29"/>
      <c r="W102" s="29"/>
      <c r="X102" s="29"/>
      <c r="Y102" s="29"/>
      <c r="Z102" s="29"/>
      <c r="AA102" s="29"/>
      <c r="AB102" s="29"/>
    </row>
    <row r="103" spans="2:31" ht="15.75" customHeight="1" x14ac:dyDescent="0.3">
      <c r="B103" s="107"/>
      <c r="C103" s="107"/>
      <c r="D103" s="114" t="s">
        <v>63</v>
      </c>
      <c r="E103" s="114">
        <v>18000</v>
      </c>
      <c r="F103" s="115"/>
      <c r="G103" s="115"/>
      <c r="H103" s="115"/>
      <c r="I103" s="114">
        <v>18000</v>
      </c>
      <c r="J103" s="107"/>
      <c r="K103" s="107"/>
      <c r="L103" s="107"/>
      <c r="M103" s="107"/>
      <c r="N103" s="107"/>
      <c r="O103" s="107"/>
      <c r="P103" s="107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spans="2:31" s="99" customFormat="1" ht="15.75" customHeight="1" x14ac:dyDescent="0.3">
      <c r="B104" s="107"/>
      <c r="C104" s="107"/>
      <c r="D104" s="114" t="s">
        <v>80</v>
      </c>
      <c r="E104" s="114">
        <v>18000</v>
      </c>
      <c r="F104" s="115"/>
      <c r="G104" s="115"/>
      <c r="H104" s="115"/>
      <c r="I104" s="114">
        <v>19000</v>
      </c>
      <c r="J104" s="107"/>
      <c r="K104" s="107"/>
      <c r="L104" s="107"/>
      <c r="M104" s="107"/>
      <c r="N104" s="107"/>
      <c r="O104" s="107"/>
      <c r="P104" s="107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spans="2:31" ht="15" customHeight="1" x14ac:dyDescent="0.3">
      <c r="B105" s="107"/>
      <c r="C105" s="107"/>
      <c r="D105" s="114" t="s">
        <v>64</v>
      </c>
      <c r="E105" s="114">
        <v>22500</v>
      </c>
      <c r="F105" s="115"/>
      <c r="G105" s="115"/>
      <c r="H105" s="115"/>
      <c r="I105" s="114">
        <v>22000</v>
      </c>
      <c r="J105" s="107"/>
      <c r="K105" s="107"/>
      <c r="L105" s="107"/>
      <c r="M105" s="107"/>
      <c r="N105" s="107"/>
      <c r="O105" s="107"/>
      <c r="P105" s="107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spans="2:31" s="99" customFormat="1" ht="15" customHeight="1" x14ac:dyDescent="0.3">
      <c r="B106" s="107"/>
      <c r="C106" s="107"/>
      <c r="D106" s="114" t="s">
        <v>81</v>
      </c>
      <c r="E106" s="114">
        <v>22500</v>
      </c>
      <c r="F106" s="115"/>
      <c r="G106" s="115"/>
      <c r="H106" s="115"/>
      <c r="I106" s="114">
        <v>22500</v>
      </c>
      <c r="J106" s="107"/>
      <c r="K106" s="107"/>
      <c r="L106" s="107"/>
      <c r="M106" s="107"/>
      <c r="N106" s="107"/>
      <c r="O106" s="107"/>
      <c r="P106" s="107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spans="2:31" ht="15" customHeight="1" x14ac:dyDescent="0.3">
      <c r="B107" s="107"/>
      <c r="C107" s="107"/>
      <c r="D107" s="114" t="s">
        <v>65</v>
      </c>
      <c r="E107" s="114">
        <v>27000</v>
      </c>
      <c r="F107" s="115"/>
      <c r="G107" s="115"/>
      <c r="H107" s="115"/>
      <c r="I107" s="114">
        <v>26500</v>
      </c>
      <c r="J107" s="107"/>
      <c r="K107" s="107"/>
      <c r="L107" s="107"/>
      <c r="M107" s="107"/>
      <c r="N107" s="107"/>
      <c r="O107" s="107"/>
      <c r="P107" s="107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spans="2:31" ht="15" customHeight="1" x14ac:dyDescent="0.3">
      <c r="B108" s="107"/>
      <c r="C108" s="107"/>
      <c r="D108" s="114" t="s">
        <v>66</v>
      </c>
      <c r="E108" s="114">
        <v>30000</v>
      </c>
      <c r="F108" s="115"/>
      <c r="G108" s="115"/>
      <c r="H108" s="115"/>
      <c r="I108" s="114">
        <v>30000</v>
      </c>
      <c r="J108" s="107"/>
      <c r="K108" s="107"/>
      <c r="L108" s="107"/>
      <c r="M108" s="107"/>
      <c r="N108" s="107"/>
      <c r="O108" s="107"/>
      <c r="P108" s="107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2:31" s="99" customFormat="1" ht="15" customHeight="1" x14ac:dyDescent="0.3">
      <c r="B109" s="107"/>
      <c r="C109" s="107"/>
      <c r="D109" s="114" t="s">
        <v>82</v>
      </c>
      <c r="E109" s="114">
        <v>37500</v>
      </c>
      <c r="F109" s="115"/>
      <c r="G109" s="115"/>
      <c r="H109" s="115"/>
      <c r="I109" s="114">
        <v>34000</v>
      </c>
      <c r="J109" s="107"/>
      <c r="K109" s="107"/>
      <c r="L109" s="107"/>
      <c r="M109" s="107"/>
      <c r="N109" s="107"/>
      <c r="O109" s="107"/>
      <c r="P109" s="107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2:31" ht="15" customHeight="1" x14ac:dyDescent="0.3">
      <c r="B110" s="107"/>
      <c r="C110" s="107"/>
      <c r="D110" s="114" t="s">
        <v>67</v>
      </c>
      <c r="E110" s="114">
        <v>37500</v>
      </c>
      <c r="F110" s="115"/>
      <c r="G110" s="115"/>
      <c r="H110" s="115"/>
      <c r="I110" s="114">
        <v>36000</v>
      </c>
      <c r="J110" s="107"/>
      <c r="K110" s="107"/>
      <c r="L110" s="107"/>
      <c r="M110" s="107"/>
      <c r="N110" s="107"/>
      <c r="O110" s="107"/>
      <c r="P110" s="107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2:31" ht="15" customHeight="1" x14ac:dyDescent="0.3">
      <c r="B111" s="107"/>
      <c r="C111" s="107"/>
      <c r="D111" s="114" t="s">
        <v>68</v>
      </c>
      <c r="E111" s="114">
        <v>45000</v>
      </c>
      <c r="F111" s="115"/>
      <c r="G111" s="115"/>
      <c r="H111" s="115"/>
      <c r="I111" s="114">
        <v>45500</v>
      </c>
      <c r="J111" s="107"/>
      <c r="K111" s="107"/>
      <c r="L111" s="107"/>
      <c r="M111" s="107"/>
      <c r="N111" s="107"/>
      <c r="O111" s="107"/>
      <c r="P111" s="107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spans="2:31" ht="15" customHeight="1" x14ac:dyDescent="0.3">
      <c r="B112" s="107"/>
      <c r="C112" s="107"/>
      <c r="D112" s="114" t="s">
        <v>69</v>
      </c>
      <c r="E112" s="114">
        <v>48000</v>
      </c>
      <c r="F112" s="115"/>
      <c r="G112" s="115"/>
      <c r="H112" s="115"/>
      <c r="I112" s="114">
        <v>47000</v>
      </c>
      <c r="J112" s="107"/>
      <c r="K112" s="107"/>
      <c r="L112" s="107"/>
      <c r="M112" s="107"/>
      <c r="N112" s="107"/>
      <c r="O112" s="107"/>
      <c r="P112" s="107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2:28" ht="15" customHeight="1" x14ac:dyDescent="0.3">
      <c r="B113" s="107"/>
      <c r="C113" s="107"/>
      <c r="D113" s="114" t="s">
        <v>70</v>
      </c>
      <c r="E113" s="114">
        <v>51000</v>
      </c>
      <c r="F113" s="115"/>
      <c r="G113" s="115"/>
      <c r="H113" s="115"/>
      <c r="I113" s="114">
        <v>49000</v>
      </c>
      <c r="J113" s="107"/>
      <c r="K113" s="107"/>
      <c r="L113" s="107"/>
      <c r="M113" s="107"/>
      <c r="N113" s="107"/>
      <c r="O113" s="107"/>
      <c r="P113" s="107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2:28" s="99" customFormat="1" ht="15" customHeight="1" x14ac:dyDescent="0.3">
      <c r="B114" s="107"/>
      <c r="C114" s="107"/>
      <c r="D114" s="114" t="s">
        <v>86</v>
      </c>
      <c r="E114" s="114">
        <v>51000</v>
      </c>
      <c r="F114" s="115"/>
      <c r="G114" s="115"/>
      <c r="H114" s="115"/>
      <c r="I114" s="114">
        <v>51000</v>
      </c>
      <c r="J114" s="107"/>
      <c r="K114" s="107"/>
      <c r="L114" s="107"/>
      <c r="M114" s="107"/>
      <c r="N114" s="107"/>
      <c r="O114" s="107"/>
      <c r="P114" s="107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2:28" s="99" customFormat="1" ht="15" customHeight="1" x14ac:dyDescent="0.3">
      <c r="B115" s="107"/>
      <c r="C115" s="107"/>
      <c r="D115" s="114" t="s">
        <v>83</v>
      </c>
      <c r="E115" s="114">
        <v>51000</v>
      </c>
      <c r="F115" s="115"/>
      <c r="G115" s="115"/>
      <c r="H115" s="115"/>
      <c r="I115" s="114">
        <v>53000</v>
      </c>
      <c r="J115" s="107"/>
      <c r="K115" s="107"/>
      <c r="L115" s="107"/>
      <c r="M115" s="107"/>
      <c r="N115" s="107"/>
      <c r="O115" s="107"/>
      <c r="P115" s="107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2:28" s="99" customFormat="1" ht="15" customHeight="1" x14ac:dyDescent="0.3">
      <c r="B116" s="107"/>
      <c r="C116" s="107"/>
      <c r="D116" s="114" t="s">
        <v>84</v>
      </c>
      <c r="E116" s="114">
        <v>51000</v>
      </c>
      <c r="F116" s="115"/>
      <c r="G116" s="115"/>
      <c r="H116" s="115"/>
      <c r="I116" s="114">
        <v>54000</v>
      </c>
      <c r="J116" s="107"/>
      <c r="K116" s="107"/>
      <c r="L116" s="107"/>
      <c r="M116" s="107"/>
      <c r="N116" s="107"/>
      <c r="O116" s="107"/>
      <c r="P116" s="107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spans="2:28" s="99" customFormat="1" ht="15" customHeight="1" x14ac:dyDescent="0.3">
      <c r="B117" s="107"/>
      <c r="C117" s="107"/>
      <c r="D117" s="114" t="s">
        <v>85</v>
      </c>
      <c r="E117" s="114">
        <v>51000</v>
      </c>
      <c r="F117" s="115"/>
      <c r="G117" s="115"/>
      <c r="H117" s="115"/>
      <c r="I117" s="114">
        <v>58000</v>
      </c>
      <c r="J117" s="107"/>
      <c r="K117" s="107"/>
      <c r="L117" s="107"/>
      <c r="M117" s="107"/>
      <c r="N117" s="107"/>
      <c r="O117" s="107"/>
      <c r="P117" s="107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  <row r="118" spans="2:28" ht="15" customHeight="1" x14ac:dyDescent="0.3">
      <c r="D118" s="114" t="s">
        <v>71</v>
      </c>
      <c r="E118" s="114">
        <v>3800</v>
      </c>
      <c r="F118" s="114"/>
      <c r="G118" s="114"/>
      <c r="H118" s="114"/>
      <c r="I118" s="114">
        <v>4360</v>
      </c>
      <c r="S118" s="11"/>
      <c r="T118" s="11"/>
      <c r="U118" s="11"/>
      <c r="V118" s="11"/>
      <c r="W118" s="11"/>
      <c r="X118" s="11"/>
      <c r="Y118" s="11"/>
      <c r="Z118" s="11"/>
      <c r="AA118" s="11"/>
      <c r="AB118" s="11"/>
    </row>
    <row r="119" spans="2:28" s="99" customFormat="1" ht="15" customHeight="1" x14ac:dyDescent="0.3">
      <c r="D119" s="114" t="s">
        <v>87</v>
      </c>
      <c r="E119" s="114">
        <v>3800</v>
      </c>
      <c r="F119" s="114"/>
      <c r="G119" s="114"/>
      <c r="H119" s="114"/>
      <c r="I119" s="114">
        <v>6003</v>
      </c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spans="2:28" ht="15" customHeight="1" x14ac:dyDescent="0.3">
      <c r="D120" s="114" t="s">
        <v>88</v>
      </c>
      <c r="E120" s="114">
        <v>8200</v>
      </c>
      <c r="F120" s="114"/>
      <c r="G120" s="114"/>
      <c r="H120" s="114"/>
      <c r="I120" s="114">
        <v>7078</v>
      </c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spans="2:28" s="99" customFormat="1" ht="15" customHeight="1" x14ac:dyDescent="0.3">
      <c r="D121" s="114" t="s">
        <v>72</v>
      </c>
      <c r="E121" s="114">
        <v>8200</v>
      </c>
      <c r="F121" s="114"/>
      <c r="G121" s="114"/>
      <c r="H121" s="114"/>
      <c r="I121" s="114">
        <v>8153</v>
      </c>
      <c r="S121" s="11"/>
      <c r="T121" s="11"/>
      <c r="U121" s="11"/>
      <c r="V121" s="11"/>
      <c r="W121" s="11"/>
      <c r="X121" s="11"/>
      <c r="Y121" s="11"/>
      <c r="Z121" s="11"/>
      <c r="AA121" s="11"/>
      <c r="AB121" s="11"/>
    </row>
    <row r="122" spans="2:28" ht="15" customHeight="1" x14ac:dyDescent="0.3">
      <c r="D122" s="114" t="s">
        <v>73</v>
      </c>
      <c r="E122" s="114">
        <v>10500</v>
      </c>
      <c r="F122" s="114"/>
      <c r="G122" s="114"/>
      <c r="H122" s="114"/>
      <c r="I122" s="114">
        <v>10501</v>
      </c>
      <c r="S122" s="11"/>
      <c r="T122" s="11"/>
      <c r="U122" s="11"/>
      <c r="V122" s="11"/>
      <c r="W122" s="11"/>
      <c r="X122" s="11"/>
      <c r="Y122" s="11"/>
      <c r="Z122" s="11"/>
      <c r="AA122" s="11"/>
      <c r="AB122" s="11"/>
    </row>
    <row r="123" spans="2:28" ht="15" customHeight="1" x14ac:dyDescent="0.3">
      <c r="D123" s="114" t="s">
        <v>74</v>
      </c>
      <c r="E123" s="114">
        <v>13500</v>
      </c>
      <c r="F123" s="114"/>
      <c r="G123" s="114"/>
      <c r="H123" s="114"/>
      <c r="I123" s="114">
        <v>13500</v>
      </c>
      <c r="S123" s="11"/>
      <c r="T123" s="11"/>
      <c r="U123" s="11"/>
      <c r="V123" s="11"/>
      <c r="W123" s="11"/>
      <c r="X123" s="11"/>
      <c r="Y123" s="11"/>
      <c r="Z123" s="11"/>
      <c r="AA123" s="11"/>
      <c r="AB123" s="11"/>
    </row>
    <row r="124" spans="2:28" ht="15" customHeight="1" x14ac:dyDescent="0.3">
      <c r="D124" s="114" t="s">
        <v>75</v>
      </c>
      <c r="E124" s="114">
        <v>15000</v>
      </c>
      <c r="F124" s="114"/>
      <c r="G124" s="114"/>
      <c r="H124" s="114"/>
      <c r="I124" s="114">
        <v>14998</v>
      </c>
      <c r="S124" s="11"/>
      <c r="T124" s="11"/>
      <c r="U124" s="11"/>
      <c r="V124" s="11"/>
      <c r="W124" s="11"/>
      <c r="X124" s="11"/>
      <c r="Y124" s="11"/>
      <c r="Z124" s="11"/>
      <c r="AA124" s="11"/>
      <c r="AB124" s="11"/>
    </row>
    <row r="125" spans="2:28" ht="15" customHeight="1" x14ac:dyDescent="0.3">
      <c r="D125" s="114" t="s">
        <v>48</v>
      </c>
      <c r="E125" s="114">
        <v>3000</v>
      </c>
      <c r="F125" s="114"/>
      <c r="G125" s="114"/>
      <c r="H125" s="114"/>
      <c r="I125" s="114">
        <v>3000</v>
      </c>
      <c r="S125" s="11"/>
      <c r="T125" s="11"/>
      <c r="U125" s="11"/>
      <c r="V125" s="11"/>
      <c r="W125" s="11"/>
      <c r="X125" s="11"/>
      <c r="Y125" s="11"/>
      <c r="Z125" s="11"/>
      <c r="AA125" s="11"/>
      <c r="AB125" s="11"/>
    </row>
    <row r="126" spans="2:28" s="99" customFormat="1" ht="15" customHeight="1" x14ac:dyDescent="0.3">
      <c r="D126" s="114" t="s">
        <v>153</v>
      </c>
      <c r="E126" s="114"/>
      <c r="F126" s="114"/>
      <c r="G126" s="114"/>
      <c r="H126" s="114"/>
      <c r="I126" s="114">
        <v>2494</v>
      </c>
      <c r="S126" s="11"/>
      <c r="T126" s="11"/>
      <c r="U126" s="11"/>
      <c r="V126" s="11"/>
      <c r="W126" s="11"/>
      <c r="X126" s="11"/>
      <c r="Y126" s="11"/>
      <c r="Z126" s="11"/>
      <c r="AA126" s="11"/>
      <c r="AB126" s="11"/>
    </row>
    <row r="127" spans="2:28" s="99" customFormat="1" ht="15" customHeight="1" x14ac:dyDescent="0.3">
      <c r="D127" s="114" t="s">
        <v>154</v>
      </c>
      <c r="E127" s="114"/>
      <c r="F127" s="114"/>
      <c r="G127" s="114"/>
      <c r="H127" s="114"/>
      <c r="I127" s="114">
        <v>3096</v>
      </c>
      <c r="S127" s="11"/>
      <c r="T127" s="11"/>
      <c r="U127" s="11"/>
      <c r="V127" s="11"/>
      <c r="W127" s="11"/>
      <c r="X127" s="11"/>
      <c r="Y127" s="11"/>
      <c r="Z127" s="11"/>
      <c r="AA127" s="11"/>
      <c r="AB127" s="11"/>
    </row>
    <row r="128" spans="2:28" ht="15" customHeight="1" x14ac:dyDescent="0.3">
      <c r="D128" s="114" t="s">
        <v>49</v>
      </c>
      <c r="E128" s="114">
        <v>6300</v>
      </c>
      <c r="F128" s="114"/>
      <c r="G128" s="114"/>
      <c r="H128" s="114"/>
      <c r="I128" s="114">
        <v>6966</v>
      </c>
      <c r="S128" s="11"/>
      <c r="T128" s="11"/>
      <c r="U128" s="11"/>
      <c r="V128" s="11"/>
      <c r="W128" s="11"/>
      <c r="X128" s="11"/>
      <c r="Y128" s="11"/>
      <c r="Z128" s="11"/>
      <c r="AA128" s="11"/>
      <c r="AB128" s="11"/>
    </row>
    <row r="129" spans="4:28" ht="15" customHeight="1" x14ac:dyDescent="0.3">
      <c r="D129" s="114" t="s">
        <v>50</v>
      </c>
      <c r="E129" s="114">
        <v>9300</v>
      </c>
      <c r="F129" s="114"/>
      <c r="G129" s="114"/>
      <c r="H129" s="114"/>
      <c r="I129" s="114">
        <v>9288</v>
      </c>
      <c r="S129" s="11"/>
      <c r="T129" s="11"/>
      <c r="U129" s="11"/>
      <c r="V129" s="11"/>
      <c r="W129" s="11"/>
      <c r="X129" s="11"/>
      <c r="Y129" s="11"/>
      <c r="Z129" s="11"/>
      <c r="AA129" s="11"/>
      <c r="AB129" s="11"/>
    </row>
    <row r="130" spans="4:28" ht="15" customHeight="1" x14ac:dyDescent="0.3">
      <c r="D130" s="114" t="s">
        <v>51</v>
      </c>
      <c r="E130" s="114">
        <v>7900</v>
      </c>
      <c r="F130" s="114"/>
      <c r="G130" s="114"/>
      <c r="H130" s="114"/>
      <c r="I130" s="114">
        <v>9976</v>
      </c>
      <c r="S130" s="11"/>
      <c r="T130" s="11"/>
      <c r="U130" s="11"/>
      <c r="V130" s="11"/>
      <c r="W130" s="11"/>
      <c r="X130" s="11"/>
      <c r="Y130" s="11"/>
      <c r="Z130" s="11"/>
      <c r="AA130" s="11"/>
      <c r="AB130" s="11"/>
    </row>
    <row r="131" spans="4:28" ht="15" customHeight="1" x14ac:dyDescent="0.3">
      <c r="D131" s="114" t="s">
        <v>54</v>
      </c>
      <c r="E131" s="114">
        <v>9590</v>
      </c>
      <c r="F131" s="114"/>
      <c r="G131" s="114"/>
      <c r="H131" s="114"/>
      <c r="I131" s="114">
        <v>13390</v>
      </c>
      <c r="S131" s="11"/>
      <c r="T131" s="11"/>
      <c r="U131" s="11"/>
      <c r="V131" s="11"/>
      <c r="W131" s="11"/>
      <c r="X131" s="11"/>
      <c r="Y131" s="11"/>
      <c r="Z131" s="11"/>
      <c r="AA131" s="11"/>
      <c r="AB131" s="11"/>
    </row>
    <row r="132" spans="4:28" ht="15" customHeight="1" x14ac:dyDescent="0.3">
      <c r="D132" s="114" t="s">
        <v>52</v>
      </c>
      <c r="E132" s="114">
        <v>9500</v>
      </c>
      <c r="F132" s="114"/>
      <c r="G132" s="114"/>
      <c r="H132" s="114"/>
      <c r="I132" s="114">
        <v>9976</v>
      </c>
      <c r="S132" s="11"/>
      <c r="T132" s="11"/>
      <c r="U132" s="11"/>
      <c r="V132" s="11"/>
      <c r="W132" s="11"/>
      <c r="X132" s="11"/>
      <c r="Y132" s="11"/>
      <c r="Z132" s="11"/>
      <c r="AA132" s="11"/>
      <c r="AB132" s="11"/>
    </row>
    <row r="133" spans="4:28" ht="15" customHeight="1" x14ac:dyDescent="0.3">
      <c r="D133" s="114" t="s">
        <v>53</v>
      </c>
      <c r="E133" s="114">
        <v>11000</v>
      </c>
      <c r="F133" s="114"/>
      <c r="G133" s="114"/>
      <c r="H133" s="114"/>
      <c r="I133" s="114">
        <v>13390</v>
      </c>
      <c r="S133" s="11"/>
      <c r="T133" s="11"/>
      <c r="U133" s="11"/>
      <c r="V133" s="11"/>
      <c r="W133" s="11"/>
      <c r="X133" s="11"/>
      <c r="Y133" s="11"/>
      <c r="Z133" s="11"/>
      <c r="AA133" s="11"/>
      <c r="AB133" s="11"/>
    </row>
    <row r="134" spans="4:28" ht="15" customHeight="1" x14ac:dyDescent="0.3">
      <c r="D134" s="114" t="s">
        <v>59</v>
      </c>
      <c r="E134" s="114">
        <v>3000</v>
      </c>
      <c r="F134" s="114"/>
      <c r="G134" s="114"/>
      <c r="H134" s="114"/>
      <c r="I134" s="114">
        <v>3010</v>
      </c>
      <c r="S134" s="11"/>
      <c r="T134" s="11"/>
      <c r="U134" s="11"/>
      <c r="V134" s="11"/>
      <c r="W134" s="11"/>
      <c r="X134" s="11"/>
      <c r="Y134" s="11"/>
      <c r="Z134" s="11"/>
      <c r="AA134" s="11"/>
      <c r="AB134" s="11"/>
    </row>
    <row r="135" spans="4:28" ht="15" customHeight="1" x14ac:dyDescent="0.3">
      <c r="D135" s="114" t="s">
        <v>55</v>
      </c>
      <c r="E135" s="114">
        <v>5500</v>
      </c>
      <c r="F135" s="114"/>
      <c r="G135" s="114"/>
      <c r="H135" s="114"/>
      <c r="I135" s="114">
        <v>5500</v>
      </c>
      <c r="S135" s="11"/>
      <c r="T135" s="11"/>
      <c r="U135" s="11"/>
      <c r="V135" s="11"/>
      <c r="W135" s="11"/>
      <c r="X135" s="11"/>
      <c r="Y135" s="11"/>
      <c r="Z135" s="11"/>
      <c r="AA135" s="11"/>
      <c r="AB135" s="11"/>
    </row>
    <row r="136" spans="4:28" ht="15" customHeight="1" x14ac:dyDescent="0.3">
      <c r="D136" s="114" t="s">
        <v>56</v>
      </c>
      <c r="E136" s="114">
        <v>500</v>
      </c>
      <c r="F136" s="114"/>
      <c r="G136" s="114"/>
      <c r="H136" s="114"/>
      <c r="I136" s="114">
        <v>500</v>
      </c>
      <c r="S136" s="11"/>
      <c r="T136" s="11"/>
      <c r="U136" s="11"/>
      <c r="V136" s="11"/>
      <c r="W136" s="11"/>
      <c r="X136" s="11"/>
      <c r="Y136" s="11"/>
      <c r="Z136" s="11"/>
      <c r="AA136" s="11"/>
      <c r="AB136" s="11"/>
    </row>
    <row r="137" spans="4:28" ht="15.75" customHeight="1" x14ac:dyDescent="0.3">
      <c r="D137" s="114" t="s">
        <v>57</v>
      </c>
      <c r="E137" s="114">
        <v>13000</v>
      </c>
      <c r="F137" s="114"/>
      <c r="G137" s="114"/>
      <c r="H137" s="114"/>
      <c r="I137" s="114">
        <v>13000</v>
      </c>
      <c r="S137" s="11"/>
      <c r="T137" s="11"/>
      <c r="U137" s="11"/>
      <c r="V137" s="11"/>
      <c r="W137" s="11"/>
      <c r="X137" s="11"/>
      <c r="Y137" s="11"/>
      <c r="Z137" s="11"/>
      <c r="AA137" s="11"/>
      <c r="AB137" s="11"/>
    </row>
    <row r="138" spans="4:28" x14ac:dyDescent="0.3">
      <c r="D138" s="114" t="s">
        <v>58</v>
      </c>
      <c r="E138" s="114">
        <v>6000</v>
      </c>
      <c r="F138" s="114"/>
      <c r="G138" s="114"/>
      <c r="H138" s="114"/>
      <c r="I138" s="114">
        <v>6020</v>
      </c>
      <c r="S138" s="6"/>
      <c r="T138" s="6"/>
      <c r="U138" s="6"/>
      <c r="V138" s="6"/>
      <c r="W138" s="6"/>
      <c r="X138" s="6"/>
      <c r="Y138" s="105"/>
      <c r="Z138" s="6"/>
      <c r="AA138" s="6"/>
      <c r="AB138" s="6"/>
    </row>
    <row r="139" spans="4:28" x14ac:dyDescent="0.3">
      <c r="D139" s="208"/>
      <c r="E139" s="208"/>
      <c r="F139" s="208"/>
      <c r="G139" s="208"/>
      <c r="H139" s="208"/>
      <c r="I139" s="208"/>
    </row>
  </sheetData>
  <sheetProtection password="EBAF" sheet="1" objects="1" scenarios="1"/>
  <dataConsolidate function="min"/>
  <mergeCells count="45">
    <mergeCell ref="B7:N7"/>
    <mergeCell ref="Z5:AC5"/>
    <mergeCell ref="AD31:AE33"/>
    <mergeCell ref="Z6:AC6"/>
    <mergeCell ref="Z7:AC7"/>
    <mergeCell ref="Z8:AB8"/>
    <mergeCell ref="B5:W5"/>
    <mergeCell ref="B6:W6"/>
    <mergeCell ref="B8:W8"/>
    <mergeCell ref="P7:V7"/>
    <mergeCell ref="AF31:AG33"/>
    <mergeCell ref="Z47:AC47"/>
    <mergeCell ref="Z52:AC52"/>
    <mergeCell ref="Z10:AA13"/>
    <mergeCell ref="AB10:AC13"/>
    <mergeCell ref="Z15:AA17"/>
    <mergeCell ref="AB15:AC17"/>
    <mergeCell ref="Z19:AA21"/>
    <mergeCell ref="AB19:AC21"/>
    <mergeCell ref="Z39:AC41"/>
    <mergeCell ref="Z44:AC46"/>
    <mergeCell ref="Z27:AA29"/>
    <mergeCell ref="AB27:AC29"/>
    <mergeCell ref="Z31:AA33"/>
    <mergeCell ref="AB31:AC33"/>
    <mergeCell ref="B85:J86"/>
    <mergeCell ref="B88:J89"/>
    <mergeCell ref="B91:J92"/>
    <mergeCell ref="B94:J94"/>
    <mergeCell ref="H95:J95"/>
    <mergeCell ref="B77:J77"/>
    <mergeCell ref="B79:J83"/>
    <mergeCell ref="Z23:AA25"/>
    <mergeCell ref="AB23:AC25"/>
    <mergeCell ref="Q55:Q56"/>
    <mergeCell ref="B58:W58"/>
    <mergeCell ref="Z35:AA37"/>
    <mergeCell ref="AB35:AC37"/>
    <mergeCell ref="Z56:AA58"/>
    <mergeCell ref="AB56:AC58"/>
    <mergeCell ref="Q73:Q74"/>
    <mergeCell ref="I59:N59"/>
    <mergeCell ref="Z42:AC42"/>
    <mergeCell ref="M73:P74"/>
    <mergeCell ref="M55:P56"/>
  </mergeCells>
  <conditionalFormatting sqref="W12:W53">
    <cfRule type="expression" dxfId="11" priority="22" stopIfTrue="1">
      <formula>V12&gt;20</formula>
    </cfRule>
  </conditionalFormatting>
  <conditionalFormatting sqref="S11:S53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63:W71">
    <cfRule type="expression" dxfId="10" priority="18" stopIfTrue="1">
      <formula>V63&gt;20</formula>
    </cfRule>
  </conditionalFormatting>
  <conditionalFormatting sqref="S63:S71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1">
    <cfRule type="expression" dxfId="9" priority="13" stopIfTrue="1">
      <formula>V11&gt;20</formula>
    </cfRule>
  </conditionalFormatting>
  <conditionalFormatting sqref="W62">
    <cfRule type="expression" dxfId="8" priority="12" stopIfTrue="1">
      <formula>V62&gt;20</formula>
    </cfRule>
  </conditionalFormatting>
  <conditionalFormatting sqref="S62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63:X71">
    <cfRule type="expression" dxfId="7" priority="28">
      <formula>X63&lt;$Q$73</formula>
    </cfRule>
  </conditionalFormatting>
  <conditionalFormatting sqref="X12:X52">
    <cfRule type="expression" dxfId="6" priority="34">
      <formula>X12&lt;$Q$55</formula>
    </cfRule>
  </conditionalFormatting>
  <dataValidations count="8">
    <dataValidation type="decimal" operator="lessThan" showInputMessage="1" showErrorMessage="1" errorTitle="VALOR NÃO PERMITIDO" error="VALOR DA PERDA DE CARGA ULTRAPASSOU O LIMITE MÁXIMO ESTABELECIDO POR NORMA" promptTitle="VALOR NÃO PERMITIDO" sqref="Q73" xr:uid="{00000000-0002-0000-0100-000000000000}">
      <formula1>0.1*P25</formula1>
    </dataValidation>
    <dataValidation type="list" operator="greaterThan" allowBlank="1" showInputMessage="1" showErrorMessage="1" sqref="N62:N71 N12:N52" xr:uid="{00000000-0002-0000-0100-000001000000}">
      <formula1>"16,20,26,32"</formula1>
    </dataValidation>
    <dataValidation type="whole" operator="greaterThanOrEqual" allowBlank="1" showInputMessage="1" showErrorMessage="1" sqref="D62:D71 D12:D53" xr:uid="{00000000-0002-0000-0100-000002000000}">
      <formula1>0</formula1>
    </dataValidation>
    <dataValidation type="decimal" operator="greaterThanOrEqual" allowBlank="1" showInputMessage="1" showErrorMessage="1" sqref="J11:L53 H12:H53 J62:L71 H62:H71 P12" xr:uid="{00000000-0002-0000-0100-000003000000}">
      <formula1>0</formula1>
    </dataValidation>
    <dataValidation type="decimal" operator="greaterThan" allowBlank="1" showInputMessage="1" showErrorMessage="1" sqref="N53 O62:O71 O11:O53" xr:uid="{00000000-0002-0000-0100-000004000000}">
      <formula1>0</formula1>
    </dataValidation>
    <dataValidation type="list" allowBlank="1" showInputMessage="1" showErrorMessage="1" sqref="I62:I71 I11:I52" xr:uid="{00000000-0002-0000-0100-000005000000}">
      <formula1>"________________,Conector Macho, Conector Fêmea, Conector Fêmea Giratório, Cotovelo, Cotovelo Fêmea,Cotovelo Macho, União ou Redução, TEE - Passagem Direta, TEE - Passagem Angular, TEE - Entrada Central"</formula1>
    </dataValidation>
    <dataValidation type="list" allowBlank="1" showInputMessage="1" showErrorMessage="1" sqref="Z7:AC7" xr:uid="{00000000-0002-0000-0100-000006000000}">
      <formula1>$D$99:$D$138</formula1>
    </dataValidation>
    <dataValidation type="list" allowBlank="1" showInputMessage="1" showErrorMessage="1" sqref="W7" xr:uid="{00000000-0002-0000-0100-000007000000}">
      <formula1>$X$7:$X$8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G154"/>
  <sheetViews>
    <sheetView showGridLines="0" showRowColHeaders="0" zoomScaleNormal="100" workbookViewId="0">
      <selection activeCell="D16" sqref="D16"/>
    </sheetView>
  </sheetViews>
  <sheetFormatPr defaultColWidth="9.109375" defaultRowHeight="14.4" x14ac:dyDescent="0.3"/>
  <cols>
    <col min="1" max="1" width="2.44140625" style="99" customWidth="1"/>
    <col min="2" max="3" width="6.6640625" style="99" customWidth="1"/>
    <col min="4" max="4" width="12.6640625" style="99" customWidth="1"/>
    <col min="5" max="5" width="9.6640625" style="99" hidden="1" customWidth="1"/>
    <col min="6" max="6" width="13.6640625" style="99" hidden="1" customWidth="1"/>
    <col min="7" max="7" width="10.6640625" style="99" customWidth="1"/>
    <col min="8" max="8" width="9.6640625" style="99" customWidth="1"/>
    <col min="9" max="9" width="24.6640625" style="99" bestFit="1" customWidth="1"/>
    <col min="10" max="12" width="9.6640625" style="99" hidden="1" customWidth="1"/>
    <col min="13" max="14" width="9.6640625" style="99" customWidth="1"/>
    <col min="15" max="15" width="9.6640625" style="99" hidden="1" customWidth="1"/>
    <col min="16" max="17" width="9.6640625" style="99" customWidth="1"/>
    <col min="18" max="18" width="9.6640625" style="99" hidden="1" customWidth="1"/>
    <col min="19" max="20" width="9.6640625" style="99" customWidth="1"/>
    <col min="21" max="21" width="9.6640625" style="99" hidden="1" customWidth="1"/>
    <col min="22" max="22" width="9.6640625" style="99" customWidth="1"/>
    <col min="23" max="23" width="18.88671875" style="99" customWidth="1"/>
    <col min="24" max="24" width="17.6640625" style="99" customWidth="1"/>
    <col min="25" max="25" width="3.88671875" style="99" customWidth="1"/>
    <col min="26" max="26" width="9.109375" style="99"/>
    <col min="27" max="27" width="9.109375" style="99" customWidth="1"/>
    <col min="28" max="16384" width="9.109375" style="99"/>
  </cols>
  <sheetData>
    <row r="2" spans="2:30" ht="15" customHeight="1" x14ac:dyDescent="0.3">
      <c r="F2" s="78"/>
      <c r="G2" s="74"/>
    </row>
    <row r="3" spans="2:30" x14ac:dyDescent="0.3">
      <c r="F3" s="74"/>
      <c r="G3" s="74"/>
    </row>
    <row r="4" spans="2:30" ht="15" thickBot="1" x14ac:dyDescent="0.35"/>
    <row r="5" spans="2:30" ht="56.25" customHeight="1" thickBot="1" x14ac:dyDescent="0.6">
      <c r="B5" s="292" t="s">
        <v>161</v>
      </c>
      <c r="C5" s="293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9"/>
      <c r="X5" s="105"/>
      <c r="Z5" s="281" t="s">
        <v>89</v>
      </c>
      <c r="AA5" s="282"/>
      <c r="AB5" s="282"/>
      <c r="AC5" s="283"/>
    </row>
    <row r="6" spans="2:30" ht="24" customHeight="1" thickBot="1" x14ac:dyDescent="0.35">
      <c r="B6" s="294" t="s">
        <v>100</v>
      </c>
      <c r="C6" s="295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3"/>
      <c r="X6" s="105"/>
      <c r="Y6" s="105"/>
      <c r="Z6" s="284" t="s">
        <v>77</v>
      </c>
      <c r="AA6" s="285"/>
      <c r="AB6" s="285"/>
      <c r="AC6" s="286"/>
    </row>
    <row r="7" spans="2:30" ht="24" customHeight="1" thickBot="1" x14ac:dyDescent="0.4">
      <c r="B7" s="307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9"/>
      <c r="O7" s="200"/>
      <c r="P7" s="304" t="s">
        <v>160</v>
      </c>
      <c r="Q7" s="305"/>
      <c r="R7" s="305"/>
      <c r="S7" s="305"/>
      <c r="T7" s="305"/>
      <c r="U7" s="305"/>
      <c r="V7" s="306"/>
      <c r="W7" s="201" t="s">
        <v>120</v>
      </c>
      <c r="X7" s="171" t="s">
        <v>120</v>
      </c>
      <c r="Y7" s="105"/>
      <c r="Z7" s="287" t="s">
        <v>53</v>
      </c>
      <c r="AA7" s="288"/>
      <c r="AB7" s="288"/>
      <c r="AC7" s="289"/>
    </row>
    <row r="8" spans="2:30" ht="24" customHeight="1" thickBot="1" x14ac:dyDescent="0.4">
      <c r="B8" s="254" t="s">
        <v>152</v>
      </c>
      <c r="C8" s="310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2"/>
      <c r="X8" s="203" t="s">
        <v>121</v>
      </c>
      <c r="Y8" s="105"/>
      <c r="Z8" s="290">
        <f>VLOOKUP(Z7,CONSUMO,6,FALSE)</f>
        <v>13390</v>
      </c>
      <c r="AA8" s="291"/>
      <c r="AB8" s="291"/>
      <c r="AC8" s="112" t="s">
        <v>76</v>
      </c>
    </row>
    <row r="9" spans="2:30" s="1" customFormat="1" ht="96" customHeight="1" thickBot="1" x14ac:dyDescent="0.35">
      <c r="B9" s="192" t="s">
        <v>103</v>
      </c>
      <c r="C9" s="204" t="s">
        <v>104</v>
      </c>
      <c r="D9" s="129" t="s">
        <v>14</v>
      </c>
      <c r="E9" s="129" t="s">
        <v>8</v>
      </c>
      <c r="F9" s="129" t="s">
        <v>15</v>
      </c>
      <c r="G9" s="129" t="s">
        <v>2</v>
      </c>
      <c r="H9" s="129" t="s">
        <v>16</v>
      </c>
      <c r="I9" s="129" t="s">
        <v>31</v>
      </c>
      <c r="J9" s="129" t="s">
        <v>23</v>
      </c>
      <c r="K9" s="129" t="s">
        <v>21</v>
      </c>
      <c r="L9" s="129" t="s">
        <v>3</v>
      </c>
      <c r="M9" s="129" t="s">
        <v>9</v>
      </c>
      <c r="N9" s="129" t="s">
        <v>18</v>
      </c>
      <c r="O9" s="129" t="s">
        <v>17</v>
      </c>
      <c r="P9" s="129" t="s">
        <v>4</v>
      </c>
      <c r="Q9" s="129" t="s">
        <v>101</v>
      </c>
      <c r="R9" s="129" t="s">
        <v>91</v>
      </c>
      <c r="S9" s="129" t="s">
        <v>5</v>
      </c>
      <c r="T9" s="129" t="s">
        <v>6</v>
      </c>
      <c r="U9" s="129" t="s">
        <v>5</v>
      </c>
      <c r="V9" s="129" t="s">
        <v>7</v>
      </c>
      <c r="W9" s="205" t="s">
        <v>19</v>
      </c>
      <c r="X9" s="206" t="s">
        <v>109</v>
      </c>
      <c r="AA9" s="39"/>
      <c r="AB9" s="39"/>
    </row>
    <row r="10" spans="2:30" ht="15.75" customHeight="1" thickBot="1" x14ac:dyDescent="0.35">
      <c r="B10" s="199"/>
      <c r="C10" s="197"/>
      <c r="D10" s="132" t="s">
        <v>10</v>
      </c>
      <c r="E10" s="132" t="s">
        <v>1</v>
      </c>
      <c r="F10" s="132" t="s">
        <v>10</v>
      </c>
      <c r="G10" s="132" t="s">
        <v>11</v>
      </c>
      <c r="H10" s="132" t="s">
        <v>95</v>
      </c>
      <c r="I10" s="189" t="s">
        <v>24</v>
      </c>
      <c r="J10" s="132" t="s">
        <v>25</v>
      </c>
      <c r="K10" s="190" t="s">
        <v>22</v>
      </c>
      <c r="L10" s="132" t="s">
        <v>95</v>
      </c>
      <c r="M10" s="132" t="s">
        <v>95</v>
      </c>
      <c r="N10" s="132" t="s">
        <v>12</v>
      </c>
      <c r="O10" s="132" t="s">
        <v>12</v>
      </c>
      <c r="P10" s="132" t="s">
        <v>93</v>
      </c>
      <c r="Q10" s="132" t="s">
        <v>95</v>
      </c>
      <c r="R10" s="132" t="s">
        <v>93</v>
      </c>
      <c r="S10" s="132" t="s">
        <v>93</v>
      </c>
      <c r="T10" s="132" t="s">
        <v>93</v>
      </c>
      <c r="U10" s="132" t="s">
        <v>94</v>
      </c>
      <c r="V10" s="132" t="s">
        <v>13</v>
      </c>
      <c r="W10" s="202" t="s">
        <v>20</v>
      </c>
      <c r="X10" s="191" t="s">
        <v>110</v>
      </c>
      <c r="Z10" s="240"/>
      <c r="AA10" s="241"/>
      <c r="AB10" s="246" t="s">
        <v>34</v>
      </c>
      <c r="AC10" s="247"/>
    </row>
    <row r="11" spans="2:30" ht="15.75" hidden="1" customHeight="1" thickBot="1" x14ac:dyDescent="0.35">
      <c r="B11" s="174" t="s">
        <v>45</v>
      </c>
      <c r="C11" s="175"/>
      <c r="D11" s="101">
        <f>D12</f>
        <v>0</v>
      </c>
      <c r="E11" s="102" t="str">
        <f>E12</f>
        <v>100,00</v>
      </c>
      <c r="F11" s="103">
        <f>F12</f>
        <v>0</v>
      </c>
      <c r="G11" s="102">
        <f>G12</f>
        <v>0</v>
      </c>
      <c r="H11" s="16">
        <v>0</v>
      </c>
      <c r="I11" s="93" t="s">
        <v>44</v>
      </c>
      <c r="J11" s="17">
        <f>IF(I11="TEE - Passagem Direta",1.8,IF(I11="União ou Redução",1.8,IF(I11="Conector Macho",1.6,IF(I11="Conector Fêmea",1.6,IF(I11="Conector Fêmea Giratório",1.6,IF(I11="Cotovelo",2.4,IF(I11="TEE - Passagem Angular",2.2,IF(I11="Cotovelo Macho",2.2,IF(I11="Cotovelo Fêmea",2.2,IF(I11="TEE - Entrada Central",3.2,IF(I11="F",3)))))))))))</f>
        <v>2.2000000000000002</v>
      </c>
      <c r="K11" s="24">
        <f>IF(V11&gt;0,0.316*((O11*V11)/(1000*0.0000157))^-0.25,50)</f>
        <v>50</v>
      </c>
      <c r="L11" s="17">
        <f>J11*O11/(1000*K11)</f>
        <v>1.1440000000000001E-3</v>
      </c>
      <c r="M11" s="102">
        <f>SUM(H11+L11)</f>
        <v>1.1440000000000001E-3</v>
      </c>
      <c r="N11" s="100">
        <f>N12</f>
        <v>32</v>
      </c>
      <c r="O11" s="69" t="str">
        <f>IF(N11=16,"12",IF(N11=20,"16",IF(N11=26,"20",IF(N11=32,"26"))))</f>
        <v>26</v>
      </c>
      <c r="P11" s="104">
        <f>P12</f>
        <v>150</v>
      </c>
      <c r="Q11" s="68">
        <v>0</v>
      </c>
      <c r="R11" s="16">
        <v>0</v>
      </c>
      <c r="S11" s="18">
        <f>P11-T11</f>
        <v>0</v>
      </c>
      <c r="T11" s="17">
        <f>IF(P11="-","-",IF(P11&lt;7.6,-2273*1.8*M11*G11^1.82/O11^4.82+P11,IFERROR((((((-4.67*10^5*1.8*M11*G11^1.82/O11^4.82)+(P11+101.33)^2)^0.5)-101.33)+R11),"-")))</f>
        <v>150</v>
      </c>
      <c r="U11" s="17">
        <f>IFERROR(((S11 - R11)/M11),"-")</f>
        <v>0</v>
      </c>
      <c r="V11" s="17">
        <f>354*G11/O11^2</f>
        <v>0</v>
      </c>
      <c r="W11" s="150" t="str">
        <f>IF(V11&gt;20,"Recalcular Diâmetro",IF(V11&lt;20,"Velocidade OK"))</f>
        <v>Velocidade OK</v>
      </c>
      <c r="X11" s="194"/>
      <c r="Z11" s="242"/>
      <c r="AA11" s="243"/>
      <c r="AB11" s="275"/>
      <c r="AC11" s="249"/>
    </row>
    <row r="12" spans="2:30" ht="15.6" thickTop="1" thickBot="1" x14ac:dyDescent="0.35">
      <c r="B12" s="174" t="s">
        <v>45</v>
      </c>
      <c r="C12" s="175" t="s">
        <v>105</v>
      </c>
      <c r="D12" s="3">
        <v>0</v>
      </c>
      <c r="E12" s="17" t="str">
        <f>IF($W$7="NÃO","100,00",IF(D12/60&lt;=350,"100,00",IF(D12/60&lt;=9612,100/(1+0.001*((D12/60)-349)^0.8712),IF(D12/60&lt;=20000,100/(1+0.4705*((D12/60)-1055)^0.19931),"23,00"))))</f>
        <v>100,00</v>
      </c>
      <c r="F12" s="25">
        <f>(D12*E12)/100</f>
        <v>0</v>
      </c>
      <c r="G12" s="17">
        <f>(F12/24000)</f>
        <v>0</v>
      </c>
      <c r="H12" s="4">
        <v>0</v>
      </c>
      <c r="I12" s="93"/>
      <c r="J12" s="17" t="b">
        <f>IF(I12="TEE - Passagem Direta",1.8,IF(I12="União ou Redução",1.8,IF(I12="Conector Macho",1.6,IF(I12="Conector Fêmea",1.6,IF(I12="Conector Fêmea Giratório",1.6,IF(I12="Cotovelo",2.4,IF(I12="TEE - Passagem Angular",2.2,IF(I12="Cotovelo Macho",2.2,IF(I12="Cotovelo Fêmea",2.2,IF(I12="TEE - Entrada Central",3.2,IF(I12="F",3)))))))))))</f>
        <v>0</v>
      </c>
      <c r="K12" s="24">
        <f>IF(V12&gt;0,0.316*((O12*V12)/(1000*0.0000157))^-0.25,50)</f>
        <v>50</v>
      </c>
      <c r="L12" s="17">
        <f>J12*O12/(1000*K12)</f>
        <v>0</v>
      </c>
      <c r="M12" s="17">
        <f t="shared" ref="M12:M37" si="0">SUM(H12+L12)</f>
        <v>0</v>
      </c>
      <c r="N12" s="2">
        <v>32</v>
      </c>
      <c r="O12" s="69" t="str">
        <f>IF(N12=16,"12",IF(N12=20,"16",IF(N12=26,"20",IF(N12=32,"26"))))</f>
        <v>26</v>
      </c>
      <c r="P12" s="140">
        <v>150</v>
      </c>
      <c r="Q12" s="68">
        <v>0</v>
      </c>
      <c r="R12" s="17">
        <f>1.318*10^-2*Q12*(1.8-1)</f>
        <v>0</v>
      </c>
      <c r="S12" s="18">
        <f>IFERROR((P12-T12),"-")</f>
        <v>0</v>
      </c>
      <c r="T12" s="17">
        <f>IF(P12="-","-",IF(P12&lt;7.6,-2273*1.8*M12*G12^1.82/O12^4.82+R12+T11,IFERROR((((((-4.67*10^5*1.8*M12*G12^1.82/O12^4.82)+(T11+101.33)^2)^0.5)-101.33)+R12-S11),"-")))</f>
        <v>150</v>
      </c>
      <c r="U12" s="17" t="str">
        <f>IFERROR(((S12 - R12)/M12),"-")</f>
        <v>-</v>
      </c>
      <c r="V12" s="17">
        <f>354*G12/O12^2</f>
        <v>0</v>
      </c>
      <c r="W12" s="150" t="str">
        <f>IF(V12&gt;20,"Recalcular Diâmetro",IF(V12&lt;20,"Velocidade OK"))</f>
        <v>Velocidade OK</v>
      </c>
      <c r="X12" s="195" t="str">
        <f>IF(C12&lt;1000,T12,"-")</f>
        <v>-</v>
      </c>
      <c r="Y12" s="12"/>
      <c r="Z12" s="242"/>
      <c r="AA12" s="243"/>
      <c r="AB12" s="248"/>
      <c r="AC12" s="249"/>
      <c r="AD12" s="80"/>
    </row>
    <row r="13" spans="2:30" ht="15.6" thickTop="1" thickBot="1" x14ac:dyDescent="0.35">
      <c r="B13" s="174" t="s">
        <v>105</v>
      </c>
      <c r="C13" s="175" t="s">
        <v>107</v>
      </c>
      <c r="D13" s="3">
        <v>0</v>
      </c>
      <c r="E13" s="17" t="str">
        <f t="shared" ref="E13:E52" si="1">IF($W$7="NÃO","100,00",IF(D13/60&lt;=350,"100,00",IF(D13/60&lt;=9612,100/(1+0.001*((D13/60)-349)^0.8712),IF(D13/60&lt;=20000,100/(1+0.4705*((D13/60)-1055)^0.19931),"23,00"))))</f>
        <v>100,00</v>
      </c>
      <c r="F13" s="25">
        <f t="shared" ref="F13:F52" si="2">(D13*E13)/100</f>
        <v>0</v>
      </c>
      <c r="G13" s="17">
        <f>(F13/24000)</f>
        <v>0</v>
      </c>
      <c r="H13" s="4">
        <v>0</v>
      </c>
      <c r="I13" s="93"/>
      <c r="J13" s="17" t="b">
        <f t="shared" ref="J13:J52" si="3">IF(I13="TEE - Passagem Direta",1.8,IF(I13="União ou Redução",1.8,IF(I13="Conector Macho",1.6,IF(I13="Conector Fêmea",1.6,IF(I13="Conector Fêmea Giratório",1.6,IF(I13="Cotovelo",2.4,IF(I13="TEE - Passagem Angular",2.2,IF(I13="Cotovelo Macho",2.2,IF(I13="Cotovelo Fêmea",2.2,IF(I13="TEE - Entrada Central",3.2,IF(I13="F",3)))))))))))</f>
        <v>0</v>
      </c>
      <c r="K13" s="24">
        <f t="shared" ref="K13:K52" si="4">IF(V13&gt;0,0.316*((O13*V13)/(1000*0.0000157))^-0.25,50)</f>
        <v>50</v>
      </c>
      <c r="L13" s="17">
        <f t="shared" ref="L13:L52" si="5">J13*O13/(1000*K13)</f>
        <v>0</v>
      </c>
      <c r="M13" s="72">
        <f t="shared" si="0"/>
        <v>0</v>
      </c>
      <c r="N13" s="2">
        <v>32</v>
      </c>
      <c r="O13" s="71" t="str">
        <f t="shared" ref="O13:O52" si="6">IF(N13=16,"12",IF(N13=20,"16",IF(N13=26,"20",IF(N13=32,"26"))))</f>
        <v>26</v>
      </c>
      <c r="P13" s="159">
        <f>IFERROR(VLOOKUP(B13,$C$12:$W$52,18,FALSE),"-")</f>
        <v>150</v>
      </c>
      <c r="Q13" s="68">
        <v>0</v>
      </c>
      <c r="R13" s="17">
        <f t="shared" ref="R13:R52" si="7">1.318*10^-2*Q13*(1.8-1)</f>
        <v>0</v>
      </c>
      <c r="S13" s="18">
        <f t="shared" ref="S13:S52" si="8">IFERROR((P13-T13),"-")</f>
        <v>0</v>
      </c>
      <c r="T13" s="17">
        <f>IF(P13="-","-",IF(P13&lt;7.6,-2273*1.8*M13*G13^1.82/O13^4.82+P13+R13,IFERROR((((((-4.67*10^5*1.8*M13*G13^1.82/O13^4.82)+(T12+101.33)^2)^0.5)-101.33)+R13),"-")))</f>
        <v>150</v>
      </c>
      <c r="U13" s="17" t="str">
        <f t="shared" ref="U13:U52" si="9">IFERROR(((S13 - R13)/M13),"-")</f>
        <v>-</v>
      </c>
      <c r="V13" s="17">
        <f t="shared" ref="V13:V52" si="10">354*G13/O13^2</f>
        <v>0</v>
      </c>
      <c r="W13" s="150" t="str">
        <f t="shared" ref="W13:W52" si="11">IF(V13&gt;20,"Recalcular Diâmetro",IF(V13&lt;20,"Velocidade OK"))</f>
        <v>Velocidade OK</v>
      </c>
      <c r="X13" s="195" t="str">
        <f t="shared" ref="X13:X52" si="12">IF(C13&lt;1000,T13,"-")</f>
        <v>-</v>
      </c>
      <c r="Y13" s="12"/>
      <c r="Z13" s="244"/>
      <c r="AA13" s="245"/>
      <c r="AB13" s="250"/>
      <c r="AC13" s="251"/>
      <c r="AD13" s="80"/>
    </row>
    <row r="14" spans="2:30" ht="15" thickBot="1" x14ac:dyDescent="0.35">
      <c r="B14" s="174" t="s">
        <v>107</v>
      </c>
      <c r="C14" s="175" t="s">
        <v>108</v>
      </c>
      <c r="D14" s="3">
        <v>0</v>
      </c>
      <c r="E14" s="17" t="str">
        <f t="shared" si="1"/>
        <v>100,00</v>
      </c>
      <c r="F14" s="25">
        <f t="shared" si="2"/>
        <v>0</v>
      </c>
      <c r="G14" s="17">
        <f t="shared" ref="G14:G52" si="13">(F14/24000)</f>
        <v>0</v>
      </c>
      <c r="H14" s="4">
        <v>0</v>
      </c>
      <c r="I14" s="93"/>
      <c r="J14" s="17" t="b">
        <f t="shared" si="3"/>
        <v>0</v>
      </c>
      <c r="K14" s="24">
        <f t="shared" si="4"/>
        <v>50</v>
      </c>
      <c r="L14" s="17">
        <f t="shared" si="5"/>
        <v>0</v>
      </c>
      <c r="M14" s="72">
        <f t="shared" si="0"/>
        <v>0</v>
      </c>
      <c r="N14" s="2">
        <v>32</v>
      </c>
      <c r="O14" s="71" t="str">
        <f t="shared" si="6"/>
        <v>26</v>
      </c>
      <c r="P14" s="17">
        <f t="shared" ref="P14:P52" si="14">IFERROR(VLOOKUP(B14,$C$12:$W$52,18,FALSE),"-")</f>
        <v>150</v>
      </c>
      <c r="Q14" s="68">
        <v>0</v>
      </c>
      <c r="R14" s="17">
        <f t="shared" si="7"/>
        <v>0</v>
      </c>
      <c r="S14" s="18">
        <f t="shared" si="8"/>
        <v>0</v>
      </c>
      <c r="T14" s="17">
        <f t="shared" ref="T14:T52" si="15">IF(P14="-","-",IF(P14&lt;7.6,-2273*1.8*M14*G14^1.82/O14^4.82+P14+R14,IFERROR((((((-4.67*10^5*1.8*M14*G14^1.82/O14^4.82)+(T13+101.33)^2)^0.5)-101.33)+R14),"-")))</f>
        <v>150</v>
      </c>
      <c r="U14" s="17" t="str">
        <f t="shared" si="9"/>
        <v>-</v>
      </c>
      <c r="V14" s="17">
        <f t="shared" si="10"/>
        <v>0</v>
      </c>
      <c r="W14" s="150" t="str">
        <f t="shared" si="11"/>
        <v>Velocidade OK</v>
      </c>
      <c r="X14" s="195" t="str">
        <f t="shared" si="12"/>
        <v>-</v>
      </c>
      <c r="Y14" s="12"/>
      <c r="Z14" s="12"/>
      <c r="AA14" s="80"/>
      <c r="AB14" s="80"/>
      <c r="AC14" s="80"/>
      <c r="AD14" s="80"/>
    </row>
    <row r="15" spans="2:30" ht="15" customHeight="1" x14ac:dyDescent="0.3">
      <c r="B15" s="174" t="s">
        <v>108</v>
      </c>
      <c r="C15" s="175" t="s">
        <v>112</v>
      </c>
      <c r="D15" s="3">
        <v>0</v>
      </c>
      <c r="E15" s="17" t="str">
        <f t="shared" si="1"/>
        <v>100,00</v>
      </c>
      <c r="F15" s="25">
        <f t="shared" si="2"/>
        <v>0</v>
      </c>
      <c r="G15" s="17">
        <f t="shared" si="13"/>
        <v>0</v>
      </c>
      <c r="H15" s="4">
        <v>0</v>
      </c>
      <c r="I15" s="93"/>
      <c r="J15" s="17" t="b">
        <f t="shared" si="3"/>
        <v>0</v>
      </c>
      <c r="K15" s="24">
        <f t="shared" si="4"/>
        <v>50</v>
      </c>
      <c r="L15" s="17">
        <f t="shared" si="5"/>
        <v>0</v>
      </c>
      <c r="M15" s="72">
        <f t="shared" si="0"/>
        <v>0</v>
      </c>
      <c r="N15" s="2">
        <v>32</v>
      </c>
      <c r="O15" s="71" t="str">
        <f t="shared" si="6"/>
        <v>26</v>
      </c>
      <c r="P15" s="17">
        <f t="shared" si="14"/>
        <v>150</v>
      </c>
      <c r="Q15" s="68">
        <v>0</v>
      </c>
      <c r="R15" s="17">
        <f t="shared" si="7"/>
        <v>0</v>
      </c>
      <c r="S15" s="18">
        <f t="shared" si="8"/>
        <v>0</v>
      </c>
      <c r="T15" s="17">
        <f t="shared" si="15"/>
        <v>150</v>
      </c>
      <c r="U15" s="17" t="str">
        <f t="shared" si="9"/>
        <v>-</v>
      </c>
      <c r="V15" s="17">
        <f t="shared" si="10"/>
        <v>0</v>
      </c>
      <c r="W15" s="150" t="str">
        <f t="shared" si="11"/>
        <v>Velocidade OK</v>
      </c>
      <c r="X15" s="195" t="str">
        <f t="shared" si="12"/>
        <v>-</v>
      </c>
      <c r="Y15" s="12"/>
      <c r="Z15" s="240"/>
      <c r="AA15" s="241"/>
      <c r="AB15" s="246" t="s">
        <v>35</v>
      </c>
      <c r="AC15" s="247"/>
      <c r="AD15" s="80"/>
    </row>
    <row r="16" spans="2:30" x14ac:dyDescent="0.3">
      <c r="B16" s="174" t="s">
        <v>112</v>
      </c>
      <c r="C16" s="175" t="s">
        <v>111</v>
      </c>
      <c r="D16" s="3">
        <v>0</v>
      </c>
      <c r="E16" s="17" t="str">
        <f t="shared" si="1"/>
        <v>100,00</v>
      </c>
      <c r="F16" s="25">
        <f t="shared" si="2"/>
        <v>0</v>
      </c>
      <c r="G16" s="17">
        <f t="shared" si="13"/>
        <v>0</v>
      </c>
      <c r="H16" s="4">
        <v>0</v>
      </c>
      <c r="I16" s="93"/>
      <c r="J16" s="17" t="b">
        <f t="shared" si="3"/>
        <v>0</v>
      </c>
      <c r="K16" s="24">
        <f t="shared" si="4"/>
        <v>50</v>
      </c>
      <c r="L16" s="17">
        <f t="shared" si="5"/>
        <v>0</v>
      </c>
      <c r="M16" s="72">
        <f t="shared" si="0"/>
        <v>0</v>
      </c>
      <c r="N16" s="2">
        <v>32</v>
      </c>
      <c r="O16" s="71" t="str">
        <f t="shared" si="6"/>
        <v>26</v>
      </c>
      <c r="P16" s="17">
        <f t="shared" si="14"/>
        <v>150</v>
      </c>
      <c r="Q16" s="68">
        <v>0</v>
      </c>
      <c r="R16" s="17">
        <f t="shared" si="7"/>
        <v>0</v>
      </c>
      <c r="S16" s="18">
        <f t="shared" si="8"/>
        <v>0</v>
      </c>
      <c r="T16" s="17">
        <f t="shared" si="15"/>
        <v>150</v>
      </c>
      <c r="U16" s="17" t="str">
        <f t="shared" si="9"/>
        <v>-</v>
      </c>
      <c r="V16" s="17">
        <f t="shared" si="10"/>
        <v>0</v>
      </c>
      <c r="W16" s="150" t="str">
        <f t="shared" si="11"/>
        <v>Velocidade OK</v>
      </c>
      <c r="X16" s="195" t="str">
        <f t="shared" si="12"/>
        <v>-</v>
      </c>
      <c r="Z16" s="242"/>
      <c r="AA16" s="243"/>
      <c r="AB16" s="248"/>
      <c r="AC16" s="249"/>
    </row>
    <row r="17" spans="2:33" ht="15" thickBot="1" x14ac:dyDescent="0.35">
      <c r="B17" s="174" t="s">
        <v>111</v>
      </c>
      <c r="C17" s="175" t="s">
        <v>113</v>
      </c>
      <c r="D17" s="3">
        <v>0</v>
      </c>
      <c r="E17" s="17" t="str">
        <f t="shared" si="1"/>
        <v>100,00</v>
      </c>
      <c r="F17" s="25">
        <f t="shared" si="2"/>
        <v>0</v>
      </c>
      <c r="G17" s="17">
        <f t="shared" si="13"/>
        <v>0</v>
      </c>
      <c r="H17" s="4">
        <v>0</v>
      </c>
      <c r="I17" s="93"/>
      <c r="J17" s="17" t="b">
        <f t="shared" si="3"/>
        <v>0</v>
      </c>
      <c r="K17" s="24">
        <f t="shared" si="4"/>
        <v>50</v>
      </c>
      <c r="L17" s="17">
        <f t="shared" si="5"/>
        <v>0</v>
      </c>
      <c r="M17" s="72">
        <f t="shared" si="0"/>
        <v>0</v>
      </c>
      <c r="N17" s="2">
        <v>32</v>
      </c>
      <c r="O17" s="71" t="str">
        <f t="shared" si="6"/>
        <v>26</v>
      </c>
      <c r="P17" s="17">
        <f t="shared" si="14"/>
        <v>150</v>
      </c>
      <c r="Q17" s="68">
        <v>0</v>
      </c>
      <c r="R17" s="17">
        <f t="shared" si="7"/>
        <v>0</v>
      </c>
      <c r="S17" s="18">
        <f t="shared" si="8"/>
        <v>0</v>
      </c>
      <c r="T17" s="17">
        <f t="shared" si="15"/>
        <v>150</v>
      </c>
      <c r="U17" s="17" t="str">
        <f t="shared" si="9"/>
        <v>-</v>
      </c>
      <c r="V17" s="17">
        <f t="shared" si="10"/>
        <v>0</v>
      </c>
      <c r="W17" s="150" t="str">
        <f t="shared" si="11"/>
        <v>Velocidade OK</v>
      </c>
      <c r="X17" s="195" t="str">
        <f t="shared" si="12"/>
        <v>-</v>
      </c>
      <c r="Z17" s="244"/>
      <c r="AA17" s="245"/>
      <c r="AB17" s="250"/>
      <c r="AC17" s="251"/>
    </row>
    <row r="18" spans="2:33" ht="15" thickBot="1" x14ac:dyDescent="0.35">
      <c r="B18" s="174" t="s">
        <v>113</v>
      </c>
      <c r="C18" s="175" t="s">
        <v>114</v>
      </c>
      <c r="D18" s="3">
        <v>0</v>
      </c>
      <c r="E18" s="17" t="str">
        <f t="shared" si="1"/>
        <v>100,00</v>
      </c>
      <c r="F18" s="25">
        <f t="shared" si="2"/>
        <v>0</v>
      </c>
      <c r="G18" s="17">
        <f t="shared" si="13"/>
        <v>0</v>
      </c>
      <c r="H18" s="4">
        <v>0</v>
      </c>
      <c r="I18" s="93"/>
      <c r="J18" s="17" t="b">
        <f t="shared" si="3"/>
        <v>0</v>
      </c>
      <c r="K18" s="24">
        <f t="shared" si="4"/>
        <v>50</v>
      </c>
      <c r="L18" s="17">
        <f t="shared" si="5"/>
        <v>0</v>
      </c>
      <c r="M18" s="72">
        <f t="shared" si="0"/>
        <v>0</v>
      </c>
      <c r="N18" s="2">
        <v>32</v>
      </c>
      <c r="O18" s="71" t="str">
        <f t="shared" si="6"/>
        <v>26</v>
      </c>
      <c r="P18" s="17">
        <f t="shared" si="14"/>
        <v>150</v>
      </c>
      <c r="Q18" s="68">
        <v>0</v>
      </c>
      <c r="R18" s="17">
        <f t="shared" si="7"/>
        <v>0</v>
      </c>
      <c r="S18" s="18">
        <f t="shared" si="8"/>
        <v>0</v>
      </c>
      <c r="T18" s="17">
        <f t="shared" si="15"/>
        <v>150</v>
      </c>
      <c r="U18" s="17" t="str">
        <f t="shared" si="9"/>
        <v>-</v>
      </c>
      <c r="V18" s="17">
        <f t="shared" si="10"/>
        <v>0</v>
      </c>
      <c r="W18" s="150" t="str">
        <f t="shared" si="11"/>
        <v>Velocidade OK</v>
      </c>
      <c r="X18" s="195" t="str">
        <f t="shared" si="12"/>
        <v>-</v>
      </c>
    </row>
    <row r="19" spans="2:33" ht="15" customHeight="1" x14ac:dyDescent="0.3">
      <c r="B19" s="174" t="s">
        <v>114</v>
      </c>
      <c r="C19" s="175" t="s">
        <v>115</v>
      </c>
      <c r="D19" s="3">
        <v>0</v>
      </c>
      <c r="E19" s="17" t="str">
        <f t="shared" si="1"/>
        <v>100,00</v>
      </c>
      <c r="F19" s="25">
        <f t="shared" si="2"/>
        <v>0</v>
      </c>
      <c r="G19" s="17">
        <f t="shared" si="13"/>
        <v>0</v>
      </c>
      <c r="H19" s="4">
        <v>0</v>
      </c>
      <c r="I19" s="93"/>
      <c r="J19" s="17" t="b">
        <f t="shared" si="3"/>
        <v>0</v>
      </c>
      <c r="K19" s="24">
        <f t="shared" si="4"/>
        <v>50</v>
      </c>
      <c r="L19" s="17">
        <f t="shared" si="5"/>
        <v>0</v>
      </c>
      <c r="M19" s="72">
        <f t="shared" si="0"/>
        <v>0</v>
      </c>
      <c r="N19" s="2">
        <v>32</v>
      </c>
      <c r="O19" s="71" t="str">
        <f t="shared" si="6"/>
        <v>26</v>
      </c>
      <c r="P19" s="17">
        <f t="shared" si="14"/>
        <v>150</v>
      </c>
      <c r="Q19" s="68">
        <v>0</v>
      </c>
      <c r="R19" s="17">
        <f t="shared" si="7"/>
        <v>0</v>
      </c>
      <c r="S19" s="18">
        <f t="shared" si="8"/>
        <v>0</v>
      </c>
      <c r="T19" s="17">
        <f t="shared" si="15"/>
        <v>150</v>
      </c>
      <c r="U19" s="17" t="str">
        <f t="shared" si="9"/>
        <v>-</v>
      </c>
      <c r="V19" s="17">
        <f t="shared" si="10"/>
        <v>0</v>
      </c>
      <c r="W19" s="150" t="str">
        <f t="shared" si="11"/>
        <v>Velocidade OK</v>
      </c>
      <c r="X19" s="195" t="str">
        <f t="shared" si="12"/>
        <v>-</v>
      </c>
      <c r="Z19" s="240"/>
      <c r="AA19" s="241"/>
      <c r="AB19" s="246" t="s">
        <v>36</v>
      </c>
      <c r="AC19" s="247"/>
    </row>
    <row r="20" spans="2:33" x14ac:dyDescent="0.3">
      <c r="B20" s="174" t="s">
        <v>115</v>
      </c>
      <c r="C20" s="175" t="s">
        <v>116</v>
      </c>
      <c r="D20" s="3">
        <v>0</v>
      </c>
      <c r="E20" s="17" t="str">
        <f t="shared" si="1"/>
        <v>100,00</v>
      </c>
      <c r="F20" s="25">
        <f t="shared" si="2"/>
        <v>0</v>
      </c>
      <c r="G20" s="17">
        <f t="shared" si="13"/>
        <v>0</v>
      </c>
      <c r="H20" s="4">
        <v>0</v>
      </c>
      <c r="I20" s="93"/>
      <c r="J20" s="17" t="b">
        <f t="shared" si="3"/>
        <v>0</v>
      </c>
      <c r="K20" s="24">
        <f t="shared" si="4"/>
        <v>50</v>
      </c>
      <c r="L20" s="17">
        <f t="shared" si="5"/>
        <v>0</v>
      </c>
      <c r="M20" s="72">
        <f t="shared" si="0"/>
        <v>0</v>
      </c>
      <c r="N20" s="2">
        <v>32</v>
      </c>
      <c r="O20" s="71" t="str">
        <f t="shared" si="6"/>
        <v>26</v>
      </c>
      <c r="P20" s="17">
        <f t="shared" si="14"/>
        <v>150</v>
      </c>
      <c r="Q20" s="68">
        <v>0</v>
      </c>
      <c r="R20" s="17">
        <f t="shared" si="7"/>
        <v>0</v>
      </c>
      <c r="S20" s="18">
        <f t="shared" si="8"/>
        <v>0</v>
      </c>
      <c r="T20" s="17">
        <f t="shared" si="15"/>
        <v>150</v>
      </c>
      <c r="U20" s="17" t="str">
        <f t="shared" si="9"/>
        <v>-</v>
      </c>
      <c r="V20" s="17">
        <f t="shared" si="10"/>
        <v>0</v>
      </c>
      <c r="W20" s="150" t="str">
        <f t="shared" si="11"/>
        <v>Velocidade OK</v>
      </c>
      <c r="X20" s="195" t="str">
        <f t="shared" si="12"/>
        <v>-</v>
      </c>
      <c r="Z20" s="242"/>
      <c r="AA20" s="243"/>
      <c r="AB20" s="248"/>
      <c r="AC20" s="249"/>
    </row>
    <row r="21" spans="2:33" ht="15" thickBot="1" x14ac:dyDescent="0.35">
      <c r="B21" s="174" t="s">
        <v>116</v>
      </c>
      <c r="C21" s="175" t="s">
        <v>122</v>
      </c>
      <c r="D21" s="3">
        <v>0</v>
      </c>
      <c r="E21" s="17" t="str">
        <f t="shared" si="1"/>
        <v>100,00</v>
      </c>
      <c r="F21" s="25">
        <f t="shared" si="2"/>
        <v>0</v>
      </c>
      <c r="G21" s="17">
        <f t="shared" si="13"/>
        <v>0</v>
      </c>
      <c r="H21" s="4">
        <v>0</v>
      </c>
      <c r="I21" s="93"/>
      <c r="J21" s="17" t="b">
        <f t="shared" si="3"/>
        <v>0</v>
      </c>
      <c r="K21" s="24">
        <f t="shared" si="4"/>
        <v>50</v>
      </c>
      <c r="L21" s="17">
        <f t="shared" si="5"/>
        <v>0</v>
      </c>
      <c r="M21" s="72">
        <f t="shared" si="0"/>
        <v>0</v>
      </c>
      <c r="N21" s="2">
        <v>32</v>
      </c>
      <c r="O21" s="71" t="str">
        <f t="shared" si="6"/>
        <v>26</v>
      </c>
      <c r="P21" s="17">
        <f t="shared" si="14"/>
        <v>150</v>
      </c>
      <c r="Q21" s="68">
        <v>0</v>
      </c>
      <c r="R21" s="17">
        <f t="shared" si="7"/>
        <v>0</v>
      </c>
      <c r="S21" s="18">
        <f t="shared" si="8"/>
        <v>0</v>
      </c>
      <c r="T21" s="17">
        <f t="shared" si="15"/>
        <v>150</v>
      </c>
      <c r="U21" s="17" t="str">
        <f t="shared" si="9"/>
        <v>-</v>
      </c>
      <c r="V21" s="17">
        <f t="shared" si="10"/>
        <v>0</v>
      </c>
      <c r="W21" s="150" t="str">
        <f t="shared" si="11"/>
        <v>Velocidade OK</v>
      </c>
      <c r="X21" s="195" t="str">
        <f t="shared" si="12"/>
        <v>-</v>
      </c>
      <c r="Z21" s="244"/>
      <c r="AA21" s="245"/>
      <c r="AB21" s="250"/>
      <c r="AC21" s="251"/>
    </row>
    <row r="22" spans="2:33" ht="15" thickBot="1" x14ac:dyDescent="0.35">
      <c r="B22" s="174" t="s">
        <v>122</v>
      </c>
      <c r="C22" s="175" t="s">
        <v>123</v>
      </c>
      <c r="D22" s="3">
        <v>0</v>
      </c>
      <c r="E22" s="17" t="str">
        <f t="shared" si="1"/>
        <v>100,00</v>
      </c>
      <c r="F22" s="25">
        <f t="shared" si="2"/>
        <v>0</v>
      </c>
      <c r="G22" s="17">
        <f t="shared" si="13"/>
        <v>0</v>
      </c>
      <c r="H22" s="4">
        <v>0</v>
      </c>
      <c r="I22" s="93"/>
      <c r="J22" s="17" t="b">
        <f t="shared" si="3"/>
        <v>0</v>
      </c>
      <c r="K22" s="24">
        <f t="shared" si="4"/>
        <v>50</v>
      </c>
      <c r="L22" s="17">
        <f t="shared" si="5"/>
        <v>0</v>
      </c>
      <c r="M22" s="72">
        <f t="shared" si="0"/>
        <v>0</v>
      </c>
      <c r="N22" s="2">
        <v>32</v>
      </c>
      <c r="O22" s="71" t="str">
        <f t="shared" si="6"/>
        <v>26</v>
      </c>
      <c r="P22" s="17">
        <f t="shared" si="14"/>
        <v>150</v>
      </c>
      <c r="Q22" s="68">
        <v>0</v>
      </c>
      <c r="R22" s="17">
        <f t="shared" si="7"/>
        <v>0</v>
      </c>
      <c r="S22" s="18">
        <f t="shared" si="8"/>
        <v>0</v>
      </c>
      <c r="T22" s="17">
        <f t="shared" si="15"/>
        <v>150</v>
      </c>
      <c r="U22" s="17" t="str">
        <f t="shared" si="9"/>
        <v>-</v>
      </c>
      <c r="V22" s="17">
        <f t="shared" si="10"/>
        <v>0</v>
      </c>
      <c r="W22" s="150" t="str">
        <f t="shared" si="11"/>
        <v>Velocidade OK</v>
      </c>
      <c r="X22" s="195" t="str">
        <f t="shared" si="12"/>
        <v>-</v>
      </c>
    </row>
    <row r="23" spans="2:33" ht="15" customHeight="1" x14ac:dyDescent="0.3">
      <c r="B23" s="174" t="s">
        <v>123</v>
      </c>
      <c r="C23" s="175" t="s">
        <v>124</v>
      </c>
      <c r="D23" s="3">
        <v>0</v>
      </c>
      <c r="E23" s="17" t="str">
        <f t="shared" si="1"/>
        <v>100,00</v>
      </c>
      <c r="F23" s="25">
        <f t="shared" si="2"/>
        <v>0</v>
      </c>
      <c r="G23" s="17">
        <f t="shared" si="13"/>
        <v>0</v>
      </c>
      <c r="H23" s="4">
        <v>0</v>
      </c>
      <c r="I23" s="93"/>
      <c r="J23" s="17" t="b">
        <f t="shared" si="3"/>
        <v>0</v>
      </c>
      <c r="K23" s="24">
        <f t="shared" si="4"/>
        <v>50</v>
      </c>
      <c r="L23" s="17">
        <f t="shared" si="5"/>
        <v>0</v>
      </c>
      <c r="M23" s="72">
        <f t="shared" si="0"/>
        <v>0</v>
      </c>
      <c r="N23" s="2">
        <v>32</v>
      </c>
      <c r="O23" s="71" t="str">
        <f t="shared" si="6"/>
        <v>26</v>
      </c>
      <c r="P23" s="17">
        <f t="shared" si="14"/>
        <v>150</v>
      </c>
      <c r="Q23" s="68">
        <v>0</v>
      </c>
      <c r="R23" s="17">
        <f t="shared" si="7"/>
        <v>0</v>
      </c>
      <c r="S23" s="18">
        <f t="shared" si="8"/>
        <v>0</v>
      </c>
      <c r="T23" s="17">
        <f t="shared" si="15"/>
        <v>150</v>
      </c>
      <c r="U23" s="17" t="str">
        <f t="shared" si="9"/>
        <v>-</v>
      </c>
      <c r="V23" s="17">
        <f t="shared" si="10"/>
        <v>0</v>
      </c>
      <c r="W23" s="150" t="str">
        <f t="shared" si="11"/>
        <v>Velocidade OK</v>
      </c>
      <c r="X23" s="195" t="str">
        <f t="shared" si="12"/>
        <v>-</v>
      </c>
      <c r="Z23" s="240"/>
      <c r="AA23" s="241"/>
      <c r="AB23" s="246" t="s">
        <v>37</v>
      </c>
      <c r="AC23" s="247"/>
    </row>
    <row r="24" spans="2:33" x14ac:dyDescent="0.3">
      <c r="B24" s="174" t="s">
        <v>124</v>
      </c>
      <c r="C24" s="175" t="s">
        <v>125</v>
      </c>
      <c r="D24" s="3">
        <v>0</v>
      </c>
      <c r="E24" s="17" t="str">
        <f t="shared" si="1"/>
        <v>100,00</v>
      </c>
      <c r="F24" s="25">
        <f t="shared" si="2"/>
        <v>0</v>
      </c>
      <c r="G24" s="17">
        <f t="shared" si="13"/>
        <v>0</v>
      </c>
      <c r="H24" s="4">
        <v>0</v>
      </c>
      <c r="I24" s="93"/>
      <c r="J24" s="17" t="b">
        <f t="shared" si="3"/>
        <v>0</v>
      </c>
      <c r="K24" s="24">
        <f t="shared" si="4"/>
        <v>50</v>
      </c>
      <c r="L24" s="17">
        <f t="shared" si="5"/>
        <v>0</v>
      </c>
      <c r="M24" s="72">
        <f t="shared" si="0"/>
        <v>0</v>
      </c>
      <c r="N24" s="2">
        <v>32</v>
      </c>
      <c r="O24" s="71" t="str">
        <f t="shared" si="6"/>
        <v>26</v>
      </c>
      <c r="P24" s="17">
        <f t="shared" si="14"/>
        <v>150</v>
      </c>
      <c r="Q24" s="68">
        <v>0</v>
      </c>
      <c r="R24" s="17">
        <f t="shared" si="7"/>
        <v>0</v>
      </c>
      <c r="S24" s="18">
        <f t="shared" si="8"/>
        <v>0</v>
      </c>
      <c r="T24" s="17">
        <f t="shared" si="15"/>
        <v>150</v>
      </c>
      <c r="U24" s="17" t="str">
        <f t="shared" si="9"/>
        <v>-</v>
      </c>
      <c r="V24" s="17">
        <f t="shared" si="10"/>
        <v>0</v>
      </c>
      <c r="W24" s="150" t="str">
        <f t="shared" si="11"/>
        <v>Velocidade OK</v>
      </c>
      <c r="X24" s="195" t="str">
        <f t="shared" si="12"/>
        <v>-</v>
      </c>
      <c r="Z24" s="242"/>
      <c r="AA24" s="243"/>
      <c r="AB24" s="248"/>
      <c r="AC24" s="249"/>
    </row>
    <row r="25" spans="2:33" ht="15" thickBot="1" x14ac:dyDescent="0.35">
      <c r="B25" s="174" t="s">
        <v>125</v>
      </c>
      <c r="C25" s="175" t="s">
        <v>126</v>
      </c>
      <c r="D25" s="3">
        <v>0</v>
      </c>
      <c r="E25" s="17" t="str">
        <f t="shared" si="1"/>
        <v>100,00</v>
      </c>
      <c r="F25" s="25">
        <f t="shared" si="2"/>
        <v>0</v>
      </c>
      <c r="G25" s="17">
        <f t="shared" si="13"/>
        <v>0</v>
      </c>
      <c r="H25" s="4">
        <v>0</v>
      </c>
      <c r="I25" s="93"/>
      <c r="J25" s="17" t="b">
        <f t="shared" si="3"/>
        <v>0</v>
      </c>
      <c r="K25" s="24">
        <f t="shared" si="4"/>
        <v>50</v>
      </c>
      <c r="L25" s="17">
        <f t="shared" si="5"/>
        <v>0</v>
      </c>
      <c r="M25" s="72">
        <f t="shared" si="0"/>
        <v>0</v>
      </c>
      <c r="N25" s="2">
        <v>16</v>
      </c>
      <c r="O25" s="71" t="str">
        <f t="shared" si="6"/>
        <v>12</v>
      </c>
      <c r="P25" s="17">
        <f t="shared" si="14"/>
        <v>150</v>
      </c>
      <c r="Q25" s="68">
        <v>0</v>
      </c>
      <c r="R25" s="17">
        <f t="shared" si="7"/>
        <v>0</v>
      </c>
      <c r="S25" s="18">
        <f t="shared" si="8"/>
        <v>0</v>
      </c>
      <c r="T25" s="17">
        <f t="shared" si="15"/>
        <v>150</v>
      </c>
      <c r="U25" s="17" t="str">
        <f t="shared" si="9"/>
        <v>-</v>
      </c>
      <c r="V25" s="17">
        <f t="shared" si="10"/>
        <v>0</v>
      </c>
      <c r="W25" s="150" t="str">
        <f t="shared" si="11"/>
        <v>Velocidade OK</v>
      </c>
      <c r="X25" s="195" t="str">
        <f t="shared" si="12"/>
        <v>-</v>
      </c>
      <c r="Z25" s="244"/>
      <c r="AA25" s="245"/>
      <c r="AB25" s="250"/>
      <c r="AC25" s="251"/>
    </row>
    <row r="26" spans="2:33" ht="15" thickBot="1" x14ac:dyDescent="0.35">
      <c r="B26" s="14" t="s">
        <v>126</v>
      </c>
      <c r="C26" s="146" t="s">
        <v>127</v>
      </c>
      <c r="D26" s="3">
        <v>0</v>
      </c>
      <c r="E26" s="17" t="str">
        <f t="shared" si="1"/>
        <v>100,00</v>
      </c>
      <c r="F26" s="25">
        <f t="shared" si="2"/>
        <v>0</v>
      </c>
      <c r="G26" s="17">
        <f t="shared" si="13"/>
        <v>0</v>
      </c>
      <c r="H26" s="4">
        <v>0</v>
      </c>
      <c r="I26" s="93"/>
      <c r="J26" s="17" t="b">
        <f t="shared" si="3"/>
        <v>0</v>
      </c>
      <c r="K26" s="24">
        <f t="shared" si="4"/>
        <v>50</v>
      </c>
      <c r="L26" s="17">
        <f t="shared" si="5"/>
        <v>0</v>
      </c>
      <c r="M26" s="72">
        <f t="shared" si="0"/>
        <v>0</v>
      </c>
      <c r="N26" s="2">
        <v>16</v>
      </c>
      <c r="O26" s="71" t="str">
        <f t="shared" si="6"/>
        <v>12</v>
      </c>
      <c r="P26" s="17">
        <f t="shared" si="14"/>
        <v>150</v>
      </c>
      <c r="Q26" s="68">
        <v>0</v>
      </c>
      <c r="R26" s="17">
        <f t="shared" si="7"/>
        <v>0</v>
      </c>
      <c r="S26" s="18">
        <f t="shared" si="8"/>
        <v>0</v>
      </c>
      <c r="T26" s="17">
        <f t="shared" si="15"/>
        <v>150</v>
      </c>
      <c r="U26" s="17" t="str">
        <f t="shared" si="9"/>
        <v>-</v>
      </c>
      <c r="V26" s="17">
        <f t="shared" si="10"/>
        <v>0</v>
      </c>
      <c r="W26" s="150" t="str">
        <f t="shared" si="11"/>
        <v>Velocidade OK</v>
      </c>
      <c r="X26" s="195" t="str">
        <f t="shared" si="12"/>
        <v>-</v>
      </c>
    </row>
    <row r="27" spans="2:33" ht="15" customHeight="1" x14ac:dyDescent="0.3">
      <c r="B27" s="14" t="s">
        <v>127</v>
      </c>
      <c r="C27" s="146" t="s">
        <v>128</v>
      </c>
      <c r="D27" s="3">
        <v>0</v>
      </c>
      <c r="E27" s="17" t="str">
        <f t="shared" si="1"/>
        <v>100,00</v>
      </c>
      <c r="F27" s="25">
        <f t="shared" si="2"/>
        <v>0</v>
      </c>
      <c r="G27" s="17">
        <f t="shared" si="13"/>
        <v>0</v>
      </c>
      <c r="H27" s="4">
        <v>0</v>
      </c>
      <c r="I27" s="93"/>
      <c r="J27" s="17" t="b">
        <f t="shared" si="3"/>
        <v>0</v>
      </c>
      <c r="K27" s="24">
        <f t="shared" si="4"/>
        <v>50</v>
      </c>
      <c r="L27" s="17">
        <f t="shared" si="5"/>
        <v>0</v>
      </c>
      <c r="M27" s="72">
        <f t="shared" si="0"/>
        <v>0</v>
      </c>
      <c r="N27" s="2">
        <v>16</v>
      </c>
      <c r="O27" s="71" t="str">
        <f t="shared" si="6"/>
        <v>12</v>
      </c>
      <c r="P27" s="17">
        <f t="shared" si="14"/>
        <v>150</v>
      </c>
      <c r="Q27" s="68">
        <v>0</v>
      </c>
      <c r="R27" s="17">
        <f t="shared" si="7"/>
        <v>0</v>
      </c>
      <c r="S27" s="18">
        <f t="shared" si="8"/>
        <v>0</v>
      </c>
      <c r="T27" s="17">
        <f t="shared" si="15"/>
        <v>150</v>
      </c>
      <c r="U27" s="17" t="str">
        <f t="shared" si="9"/>
        <v>-</v>
      </c>
      <c r="V27" s="17">
        <f t="shared" si="10"/>
        <v>0</v>
      </c>
      <c r="W27" s="150" t="str">
        <f t="shared" si="11"/>
        <v>Velocidade OK</v>
      </c>
      <c r="X27" s="195" t="str">
        <f t="shared" si="12"/>
        <v>-</v>
      </c>
      <c r="Z27" s="240"/>
      <c r="AA27" s="241"/>
      <c r="AB27" s="246" t="s">
        <v>39</v>
      </c>
      <c r="AC27" s="247"/>
    </row>
    <row r="28" spans="2:33" ht="15" customHeight="1" x14ac:dyDescent="0.3">
      <c r="B28" s="14" t="s">
        <v>128</v>
      </c>
      <c r="C28" s="146" t="s">
        <v>117</v>
      </c>
      <c r="D28" s="3">
        <v>0</v>
      </c>
      <c r="E28" s="17" t="str">
        <f t="shared" si="1"/>
        <v>100,00</v>
      </c>
      <c r="F28" s="25">
        <f t="shared" si="2"/>
        <v>0</v>
      </c>
      <c r="G28" s="17">
        <f t="shared" si="13"/>
        <v>0</v>
      </c>
      <c r="H28" s="4">
        <v>0</v>
      </c>
      <c r="I28" s="93"/>
      <c r="J28" s="17" t="b">
        <f t="shared" si="3"/>
        <v>0</v>
      </c>
      <c r="K28" s="24">
        <f t="shared" si="4"/>
        <v>50</v>
      </c>
      <c r="L28" s="17">
        <f t="shared" si="5"/>
        <v>0</v>
      </c>
      <c r="M28" s="72">
        <f t="shared" si="0"/>
        <v>0</v>
      </c>
      <c r="N28" s="2">
        <v>16</v>
      </c>
      <c r="O28" s="69" t="str">
        <f t="shared" si="6"/>
        <v>12</v>
      </c>
      <c r="P28" s="17">
        <f t="shared" si="14"/>
        <v>150</v>
      </c>
      <c r="Q28" s="68">
        <v>0</v>
      </c>
      <c r="R28" s="17">
        <f t="shared" si="7"/>
        <v>0</v>
      </c>
      <c r="S28" s="18">
        <f t="shared" si="8"/>
        <v>0</v>
      </c>
      <c r="T28" s="17">
        <f t="shared" si="15"/>
        <v>150</v>
      </c>
      <c r="U28" s="17" t="str">
        <f t="shared" si="9"/>
        <v>-</v>
      </c>
      <c r="V28" s="17">
        <f t="shared" si="10"/>
        <v>0</v>
      </c>
      <c r="W28" s="150" t="str">
        <f t="shared" si="11"/>
        <v>Velocidade OK</v>
      </c>
      <c r="X28" s="195" t="str">
        <f t="shared" si="12"/>
        <v>-</v>
      </c>
      <c r="Z28" s="242"/>
      <c r="AA28" s="243"/>
      <c r="AB28" s="248"/>
      <c r="AC28" s="249"/>
    </row>
    <row r="29" spans="2:33" ht="15.75" customHeight="1" thickBot="1" x14ac:dyDescent="0.35">
      <c r="B29" s="14" t="s">
        <v>117</v>
      </c>
      <c r="C29" s="146" t="s">
        <v>130</v>
      </c>
      <c r="D29" s="3">
        <v>0</v>
      </c>
      <c r="E29" s="17" t="str">
        <f t="shared" si="1"/>
        <v>100,00</v>
      </c>
      <c r="F29" s="25">
        <f t="shared" si="2"/>
        <v>0</v>
      </c>
      <c r="G29" s="17">
        <f t="shared" si="13"/>
        <v>0</v>
      </c>
      <c r="H29" s="4">
        <v>0</v>
      </c>
      <c r="I29" s="93"/>
      <c r="J29" s="17" t="b">
        <f t="shared" si="3"/>
        <v>0</v>
      </c>
      <c r="K29" s="24">
        <f t="shared" si="4"/>
        <v>50</v>
      </c>
      <c r="L29" s="17">
        <f t="shared" si="5"/>
        <v>0</v>
      </c>
      <c r="M29" s="72">
        <f t="shared" si="0"/>
        <v>0</v>
      </c>
      <c r="N29" s="2">
        <v>16</v>
      </c>
      <c r="O29" s="69" t="str">
        <f t="shared" si="6"/>
        <v>12</v>
      </c>
      <c r="P29" s="17">
        <f t="shared" si="14"/>
        <v>150</v>
      </c>
      <c r="Q29" s="68">
        <v>0</v>
      </c>
      <c r="R29" s="17">
        <f t="shared" si="7"/>
        <v>0</v>
      </c>
      <c r="S29" s="18">
        <f t="shared" si="8"/>
        <v>0</v>
      </c>
      <c r="T29" s="17">
        <f t="shared" si="15"/>
        <v>150</v>
      </c>
      <c r="U29" s="17" t="str">
        <f t="shared" si="9"/>
        <v>-</v>
      </c>
      <c r="V29" s="17">
        <f t="shared" si="10"/>
        <v>0</v>
      </c>
      <c r="W29" s="150" t="str">
        <f t="shared" si="11"/>
        <v>Velocidade OK</v>
      </c>
      <c r="X29" s="195" t="str">
        <f t="shared" si="12"/>
        <v>-</v>
      </c>
      <c r="Z29" s="244"/>
      <c r="AA29" s="245"/>
      <c r="AB29" s="250"/>
      <c r="AC29" s="251"/>
    </row>
    <row r="30" spans="2:33" ht="15" thickBot="1" x14ac:dyDescent="0.35">
      <c r="B30" s="14" t="s">
        <v>130</v>
      </c>
      <c r="C30" s="146" t="s">
        <v>106</v>
      </c>
      <c r="D30" s="3">
        <v>0</v>
      </c>
      <c r="E30" s="17" t="str">
        <f t="shared" si="1"/>
        <v>100,00</v>
      </c>
      <c r="F30" s="25">
        <f t="shared" si="2"/>
        <v>0</v>
      </c>
      <c r="G30" s="17">
        <f t="shared" si="13"/>
        <v>0</v>
      </c>
      <c r="H30" s="4">
        <v>0</v>
      </c>
      <c r="I30" s="93"/>
      <c r="J30" s="17" t="b">
        <f t="shared" si="3"/>
        <v>0</v>
      </c>
      <c r="K30" s="24">
        <f t="shared" si="4"/>
        <v>50</v>
      </c>
      <c r="L30" s="17">
        <f t="shared" si="5"/>
        <v>0</v>
      </c>
      <c r="M30" s="72">
        <f t="shared" si="0"/>
        <v>0</v>
      </c>
      <c r="N30" s="2">
        <v>16</v>
      </c>
      <c r="O30" s="71" t="str">
        <f t="shared" si="6"/>
        <v>12</v>
      </c>
      <c r="P30" s="17">
        <f t="shared" si="14"/>
        <v>150</v>
      </c>
      <c r="Q30" s="68">
        <v>0</v>
      </c>
      <c r="R30" s="17">
        <f t="shared" si="7"/>
        <v>0</v>
      </c>
      <c r="S30" s="18">
        <f t="shared" si="8"/>
        <v>0</v>
      </c>
      <c r="T30" s="17">
        <f t="shared" si="15"/>
        <v>150</v>
      </c>
      <c r="U30" s="17" t="str">
        <f t="shared" si="9"/>
        <v>-</v>
      </c>
      <c r="V30" s="17">
        <f t="shared" si="10"/>
        <v>0</v>
      </c>
      <c r="W30" s="150" t="str">
        <f t="shared" si="11"/>
        <v>Velocidade OK</v>
      </c>
      <c r="X30" s="195" t="str">
        <f t="shared" si="12"/>
        <v>-</v>
      </c>
    </row>
    <row r="31" spans="2:33" ht="15" customHeight="1" x14ac:dyDescent="0.3">
      <c r="B31" s="14" t="s">
        <v>106</v>
      </c>
      <c r="C31" s="146" t="s">
        <v>118</v>
      </c>
      <c r="D31" s="3">
        <v>0</v>
      </c>
      <c r="E31" s="17" t="str">
        <f t="shared" si="1"/>
        <v>100,00</v>
      </c>
      <c r="F31" s="25">
        <f t="shared" si="2"/>
        <v>0</v>
      </c>
      <c r="G31" s="17">
        <f t="shared" si="13"/>
        <v>0</v>
      </c>
      <c r="H31" s="4">
        <v>0</v>
      </c>
      <c r="I31" s="93"/>
      <c r="J31" s="17" t="b">
        <f t="shared" si="3"/>
        <v>0</v>
      </c>
      <c r="K31" s="24">
        <f t="shared" si="4"/>
        <v>50</v>
      </c>
      <c r="L31" s="17">
        <f t="shared" si="5"/>
        <v>0</v>
      </c>
      <c r="M31" s="72">
        <f t="shared" si="0"/>
        <v>0</v>
      </c>
      <c r="N31" s="2">
        <v>16</v>
      </c>
      <c r="O31" s="71" t="str">
        <f t="shared" si="6"/>
        <v>12</v>
      </c>
      <c r="P31" s="17">
        <f t="shared" si="14"/>
        <v>150</v>
      </c>
      <c r="Q31" s="68">
        <v>0</v>
      </c>
      <c r="R31" s="17">
        <f t="shared" si="7"/>
        <v>0</v>
      </c>
      <c r="S31" s="18">
        <f t="shared" si="8"/>
        <v>0</v>
      </c>
      <c r="T31" s="17">
        <f t="shared" si="15"/>
        <v>150</v>
      </c>
      <c r="U31" s="17" t="str">
        <f t="shared" si="9"/>
        <v>-</v>
      </c>
      <c r="V31" s="17">
        <f t="shared" si="10"/>
        <v>0</v>
      </c>
      <c r="W31" s="150" t="str">
        <f t="shared" si="11"/>
        <v>Velocidade OK</v>
      </c>
      <c r="X31" s="195" t="str">
        <f t="shared" si="12"/>
        <v>-</v>
      </c>
      <c r="Z31" s="240"/>
      <c r="AA31" s="241"/>
      <c r="AB31" s="246" t="s">
        <v>38</v>
      </c>
      <c r="AC31" s="247"/>
      <c r="AD31" s="256"/>
      <c r="AE31" s="256"/>
      <c r="AF31" s="274"/>
      <c r="AG31" s="258"/>
    </row>
    <row r="32" spans="2:33" ht="15" customHeight="1" x14ac:dyDescent="0.3">
      <c r="B32" s="14" t="s">
        <v>118</v>
      </c>
      <c r="C32" s="146" t="s">
        <v>131</v>
      </c>
      <c r="D32" s="3">
        <v>0</v>
      </c>
      <c r="E32" s="17" t="str">
        <f t="shared" si="1"/>
        <v>100,00</v>
      </c>
      <c r="F32" s="25">
        <f t="shared" si="2"/>
        <v>0</v>
      </c>
      <c r="G32" s="17">
        <f t="shared" si="13"/>
        <v>0</v>
      </c>
      <c r="H32" s="4">
        <v>0</v>
      </c>
      <c r="I32" s="93"/>
      <c r="J32" s="17" t="b">
        <f t="shared" si="3"/>
        <v>0</v>
      </c>
      <c r="K32" s="24">
        <f t="shared" si="4"/>
        <v>50</v>
      </c>
      <c r="L32" s="17">
        <f t="shared" si="5"/>
        <v>0</v>
      </c>
      <c r="M32" s="72">
        <f t="shared" si="0"/>
        <v>0</v>
      </c>
      <c r="N32" s="2">
        <v>16</v>
      </c>
      <c r="O32" s="71" t="str">
        <f t="shared" si="6"/>
        <v>12</v>
      </c>
      <c r="P32" s="17">
        <f t="shared" si="14"/>
        <v>150</v>
      </c>
      <c r="Q32" s="5">
        <v>0</v>
      </c>
      <c r="R32" s="17">
        <f t="shared" si="7"/>
        <v>0</v>
      </c>
      <c r="S32" s="18">
        <f t="shared" si="8"/>
        <v>0</v>
      </c>
      <c r="T32" s="17">
        <f t="shared" si="15"/>
        <v>150</v>
      </c>
      <c r="U32" s="17" t="str">
        <f t="shared" si="9"/>
        <v>-</v>
      </c>
      <c r="V32" s="17">
        <f t="shared" si="10"/>
        <v>0</v>
      </c>
      <c r="W32" s="150" t="str">
        <f t="shared" si="11"/>
        <v>Velocidade OK</v>
      </c>
      <c r="X32" s="195" t="str">
        <f t="shared" si="12"/>
        <v>-</v>
      </c>
      <c r="Z32" s="242"/>
      <c r="AA32" s="243"/>
      <c r="AB32" s="248"/>
      <c r="AC32" s="249"/>
      <c r="AD32" s="256"/>
      <c r="AE32" s="256"/>
      <c r="AF32" s="258"/>
      <c r="AG32" s="258"/>
    </row>
    <row r="33" spans="2:33" ht="15.75" customHeight="1" thickBot="1" x14ac:dyDescent="0.35">
      <c r="B33" s="14" t="s">
        <v>131</v>
      </c>
      <c r="C33" s="146" t="s">
        <v>129</v>
      </c>
      <c r="D33" s="3">
        <v>0</v>
      </c>
      <c r="E33" s="17" t="str">
        <f t="shared" si="1"/>
        <v>100,00</v>
      </c>
      <c r="F33" s="25">
        <f t="shared" si="2"/>
        <v>0</v>
      </c>
      <c r="G33" s="17">
        <f t="shared" si="13"/>
        <v>0</v>
      </c>
      <c r="H33" s="4">
        <v>0</v>
      </c>
      <c r="I33" s="93"/>
      <c r="J33" s="17" t="b">
        <f t="shared" si="3"/>
        <v>0</v>
      </c>
      <c r="K33" s="24">
        <f t="shared" si="4"/>
        <v>50</v>
      </c>
      <c r="L33" s="17">
        <f t="shared" si="5"/>
        <v>0</v>
      </c>
      <c r="M33" s="72">
        <f t="shared" si="0"/>
        <v>0</v>
      </c>
      <c r="N33" s="2">
        <v>16</v>
      </c>
      <c r="O33" s="71" t="str">
        <f t="shared" si="6"/>
        <v>12</v>
      </c>
      <c r="P33" s="17">
        <f t="shared" si="14"/>
        <v>150</v>
      </c>
      <c r="Q33" s="5">
        <v>0</v>
      </c>
      <c r="R33" s="17">
        <f t="shared" si="7"/>
        <v>0</v>
      </c>
      <c r="S33" s="18">
        <f t="shared" si="8"/>
        <v>0</v>
      </c>
      <c r="T33" s="17">
        <f t="shared" si="15"/>
        <v>150</v>
      </c>
      <c r="U33" s="17" t="str">
        <f t="shared" si="9"/>
        <v>-</v>
      </c>
      <c r="V33" s="17">
        <f t="shared" si="10"/>
        <v>0</v>
      </c>
      <c r="W33" s="150" t="str">
        <f t="shared" si="11"/>
        <v>Velocidade OK</v>
      </c>
      <c r="X33" s="195" t="str">
        <f t="shared" si="12"/>
        <v>-</v>
      </c>
      <c r="Z33" s="244"/>
      <c r="AA33" s="245"/>
      <c r="AB33" s="250"/>
      <c r="AC33" s="251"/>
      <c r="AD33" s="256"/>
      <c r="AE33" s="256"/>
      <c r="AF33" s="258"/>
      <c r="AG33" s="258"/>
    </row>
    <row r="34" spans="2:33" ht="15" thickBot="1" x14ac:dyDescent="0.35">
      <c r="B34" s="14" t="s">
        <v>129</v>
      </c>
      <c r="C34" s="146" t="s">
        <v>132</v>
      </c>
      <c r="D34" s="3">
        <v>0</v>
      </c>
      <c r="E34" s="17" t="str">
        <f t="shared" si="1"/>
        <v>100,00</v>
      </c>
      <c r="F34" s="25">
        <f t="shared" si="2"/>
        <v>0</v>
      </c>
      <c r="G34" s="17">
        <f t="shared" si="13"/>
        <v>0</v>
      </c>
      <c r="H34" s="4">
        <v>0</v>
      </c>
      <c r="I34" s="93"/>
      <c r="J34" s="17" t="b">
        <f t="shared" si="3"/>
        <v>0</v>
      </c>
      <c r="K34" s="24">
        <f t="shared" si="4"/>
        <v>50</v>
      </c>
      <c r="L34" s="17">
        <f t="shared" si="5"/>
        <v>0</v>
      </c>
      <c r="M34" s="72">
        <f t="shared" si="0"/>
        <v>0</v>
      </c>
      <c r="N34" s="2">
        <v>16</v>
      </c>
      <c r="O34" s="71" t="str">
        <f t="shared" si="6"/>
        <v>12</v>
      </c>
      <c r="P34" s="17">
        <f t="shared" si="14"/>
        <v>150</v>
      </c>
      <c r="Q34" s="5">
        <v>0</v>
      </c>
      <c r="R34" s="17">
        <f t="shared" si="7"/>
        <v>0</v>
      </c>
      <c r="S34" s="18">
        <f t="shared" si="8"/>
        <v>0</v>
      </c>
      <c r="T34" s="17">
        <f t="shared" si="15"/>
        <v>150</v>
      </c>
      <c r="U34" s="17" t="str">
        <f t="shared" si="9"/>
        <v>-</v>
      </c>
      <c r="V34" s="17">
        <f t="shared" si="10"/>
        <v>0</v>
      </c>
      <c r="W34" s="150" t="str">
        <f t="shared" si="11"/>
        <v>Velocidade OK</v>
      </c>
      <c r="X34" s="195" t="str">
        <f t="shared" si="12"/>
        <v>-</v>
      </c>
    </row>
    <row r="35" spans="2:33" x14ac:dyDescent="0.3">
      <c r="B35" s="14" t="s">
        <v>132</v>
      </c>
      <c r="C35" s="146" t="s">
        <v>133</v>
      </c>
      <c r="D35" s="3">
        <v>0</v>
      </c>
      <c r="E35" s="17" t="str">
        <f t="shared" si="1"/>
        <v>100,00</v>
      </c>
      <c r="F35" s="25">
        <f t="shared" si="2"/>
        <v>0</v>
      </c>
      <c r="G35" s="17">
        <f t="shared" si="13"/>
        <v>0</v>
      </c>
      <c r="H35" s="4">
        <v>0</v>
      </c>
      <c r="I35" s="93"/>
      <c r="J35" s="17" t="b">
        <f t="shared" si="3"/>
        <v>0</v>
      </c>
      <c r="K35" s="24">
        <f t="shared" si="4"/>
        <v>50</v>
      </c>
      <c r="L35" s="17">
        <f t="shared" si="5"/>
        <v>0</v>
      </c>
      <c r="M35" s="72">
        <f t="shared" si="0"/>
        <v>0</v>
      </c>
      <c r="N35" s="2">
        <v>16</v>
      </c>
      <c r="O35" s="71" t="str">
        <f t="shared" si="6"/>
        <v>12</v>
      </c>
      <c r="P35" s="17">
        <f t="shared" si="14"/>
        <v>150</v>
      </c>
      <c r="Q35" s="5">
        <v>0</v>
      </c>
      <c r="R35" s="17">
        <f t="shared" si="7"/>
        <v>0</v>
      </c>
      <c r="S35" s="18">
        <f t="shared" si="8"/>
        <v>0</v>
      </c>
      <c r="T35" s="17">
        <f t="shared" si="15"/>
        <v>150</v>
      </c>
      <c r="U35" s="17" t="str">
        <f t="shared" si="9"/>
        <v>-</v>
      </c>
      <c r="V35" s="17">
        <f t="shared" si="10"/>
        <v>0</v>
      </c>
      <c r="W35" s="150" t="str">
        <f t="shared" si="11"/>
        <v>Velocidade OK</v>
      </c>
      <c r="X35" s="195" t="str">
        <f t="shared" si="12"/>
        <v>-</v>
      </c>
      <c r="Z35" s="240"/>
      <c r="AA35" s="241"/>
      <c r="AB35" s="246" t="s">
        <v>40</v>
      </c>
      <c r="AC35" s="247"/>
    </row>
    <row r="36" spans="2:33" x14ac:dyDescent="0.3">
      <c r="B36" s="14" t="s">
        <v>133</v>
      </c>
      <c r="C36" s="146" t="s">
        <v>134</v>
      </c>
      <c r="D36" s="3">
        <v>0</v>
      </c>
      <c r="E36" s="17" t="str">
        <f t="shared" si="1"/>
        <v>100,00</v>
      </c>
      <c r="F36" s="25">
        <f t="shared" si="2"/>
        <v>0</v>
      </c>
      <c r="G36" s="17">
        <f t="shared" si="13"/>
        <v>0</v>
      </c>
      <c r="H36" s="4">
        <v>0</v>
      </c>
      <c r="I36" s="93"/>
      <c r="J36" s="17" t="b">
        <f t="shared" si="3"/>
        <v>0</v>
      </c>
      <c r="K36" s="24">
        <f t="shared" si="4"/>
        <v>50</v>
      </c>
      <c r="L36" s="17">
        <f t="shared" si="5"/>
        <v>0</v>
      </c>
      <c r="M36" s="72">
        <f t="shared" si="0"/>
        <v>0</v>
      </c>
      <c r="N36" s="2">
        <v>16</v>
      </c>
      <c r="O36" s="71" t="str">
        <f t="shared" si="6"/>
        <v>12</v>
      </c>
      <c r="P36" s="17">
        <f t="shared" si="14"/>
        <v>150</v>
      </c>
      <c r="Q36" s="5">
        <v>0</v>
      </c>
      <c r="R36" s="17">
        <f t="shared" si="7"/>
        <v>0</v>
      </c>
      <c r="S36" s="18">
        <f t="shared" si="8"/>
        <v>0</v>
      </c>
      <c r="T36" s="17">
        <f t="shared" si="15"/>
        <v>150</v>
      </c>
      <c r="U36" s="17" t="str">
        <f t="shared" si="9"/>
        <v>-</v>
      </c>
      <c r="V36" s="17">
        <f t="shared" si="10"/>
        <v>0</v>
      </c>
      <c r="W36" s="150" t="str">
        <f t="shared" si="11"/>
        <v>Velocidade OK</v>
      </c>
      <c r="X36" s="195" t="str">
        <f t="shared" si="12"/>
        <v>-</v>
      </c>
      <c r="Z36" s="242"/>
      <c r="AA36" s="243"/>
      <c r="AB36" s="248"/>
      <c r="AC36" s="249"/>
    </row>
    <row r="37" spans="2:33" ht="15" thickBot="1" x14ac:dyDescent="0.35">
      <c r="B37" s="14" t="s">
        <v>134</v>
      </c>
      <c r="C37" s="146" t="s">
        <v>135</v>
      </c>
      <c r="D37" s="3">
        <v>0</v>
      </c>
      <c r="E37" s="17" t="str">
        <f t="shared" si="1"/>
        <v>100,00</v>
      </c>
      <c r="F37" s="25">
        <f t="shared" si="2"/>
        <v>0</v>
      </c>
      <c r="G37" s="17">
        <f t="shared" si="13"/>
        <v>0</v>
      </c>
      <c r="H37" s="4">
        <v>0</v>
      </c>
      <c r="I37" s="93"/>
      <c r="J37" s="17" t="b">
        <f t="shared" si="3"/>
        <v>0</v>
      </c>
      <c r="K37" s="24">
        <f t="shared" si="4"/>
        <v>50</v>
      </c>
      <c r="L37" s="17">
        <f t="shared" si="5"/>
        <v>0</v>
      </c>
      <c r="M37" s="72">
        <f t="shared" si="0"/>
        <v>0</v>
      </c>
      <c r="N37" s="2">
        <v>16</v>
      </c>
      <c r="O37" s="71" t="str">
        <f t="shared" si="6"/>
        <v>12</v>
      </c>
      <c r="P37" s="17">
        <f t="shared" si="14"/>
        <v>150</v>
      </c>
      <c r="Q37" s="5">
        <v>0</v>
      </c>
      <c r="R37" s="17">
        <f t="shared" si="7"/>
        <v>0</v>
      </c>
      <c r="S37" s="18">
        <f t="shared" si="8"/>
        <v>0</v>
      </c>
      <c r="T37" s="17">
        <f t="shared" si="15"/>
        <v>150</v>
      </c>
      <c r="U37" s="17" t="str">
        <f t="shared" si="9"/>
        <v>-</v>
      </c>
      <c r="V37" s="17">
        <f t="shared" si="10"/>
        <v>0</v>
      </c>
      <c r="W37" s="150" t="str">
        <f t="shared" si="11"/>
        <v>Velocidade OK</v>
      </c>
      <c r="X37" s="195" t="str">
        <f t="shared" si="12"/>
        <v>-</v>
      </c>
      <c r="Z37" s="244"/>
      <c r="AA37" s="245"/>
      <c r="AB37" s="250"/>
      <c r="AC37" s="251"/>
    </row>
    <row r="38" spans="2:33" ht="15" thickBot="1" x14ac:dyDescent="0.35">
      <c r="B38" s="14" t="s">
        <v>135</v>
      </c>
      <c r="C38" s="146" t="s">
        <v>136</v>
      </c>
      <c r="D38" s="3">
        <v>0</v>
      </c>
      <c r="E38" s="17" t="str">
        <f t="shared" si="1"/>
        <v>100,00</v>
      </c>
      <c r="F38" s="60">
        <f t="shared" si="2"/>
        <v>0</v>
      </c>
      <c r="G38" s="17">
        <f t="shared" si="13"/>
        <v>0</v>
      </c>
      <c r="H38" s="4">
        <v>0</v>
      </c>
      <c r="I38" s="93"/>
      <c r="J38" s="17" t="b">
        <f t="shared" si="3"/>
        <v>0</v>
      </c>
      <c r="K38" s="61">
        <f t="shared" si="4"/>
        <v>50</v>
      </c>
      <c r="L38" s="59">
        <f t="shared" si="5"/>
        <v>0</v>
      </c>
      <c r="M38" s="94">
        <f t="shared" ref="M38:M52" si="16">SUM(H38+L38)</f>
        <v>0</v>
      </c>
      <c r="N38" s="2">
        <v>16</v>
      </c>
      <c r="O38" s="96" t="str">
        <f t="shared" si="6"/>
        <v>12</v>
      </c>
      <c r="P38" s="17">
        <f t="shared" si="14"/>
        <v>150</v>
      </c>
      <c r="Q38" s="62">
        <v>0</v>
      </c>
      <c r="R38" s="17">
        <f t="shared" si="7"/>
        <v>0</v>
      </c>
      <c r="S38" s="18">
        <f t="shared" si="8"/>
        <v>0</v>
      </c>
      <c r="T38" s="17">
        <f t="shared" si="15"/>
        <v>150</v>
      </c>
      <c r="U38" s="17" t="str">
        <f t="shared" si="9"/>
        <v>-</v>
      </c>
      <c r="V38" s="17">
        <f t="shared" si="10"/>
        <v>0</v>
      </c>
      <c r="W38" s="150" t="str">
        <f t="shared" si="11"/>
        <v>Velocidade OK</v>
      </c>
      <c r="X38" s="195" t="str">
        <f t="shared" si="12"/>
        <v>-</v>
      </c>
    </row>
    <row r="39" spans="2:33" ht="15" customHeight="1" x14ac:dyDescent="0.3">
      <c r="B39" s="14" t="s">
        <v>136</v>
      </c>
      <c r="C39" s="146" t="s">
        <v>137</v>
      </c>
      <c r="D39" s="3">
        <v>0</v>
      </c>
      <c r="E39" s="17" t="str">
        <f t="shared" si="1"/>
        <v>100,00</v>
      </c>
      <c r="F39" s="25">
        <f t="shared" si="2"/>
        <v>0</v>
      </c>
      <c r="G39" s="17">
        <f t="shared" si="13"/>
        <v>0</v>
      </c>
      <c r="H39" s="4">
        <v>0</v>
      </c>
      <c r="I39" s="93"/>
      <c r="J39" s="17" t="b">
        <f t="shared" si="3"/>
        <v>0</v>
      </c>
      <c r="K39" s="24">
        <f t="shared" si="4"/>
        <v>50</v>
      </c>
      <c r="L39" s="17">
        <f t="shared" si="5"/>
        <v>0</v>
      </c>
      <c r="M39" s="72">
        <f t="shared" si="16"/>
        <v>0</v>
      </c>
      <c r="N39" s="2">
        <v>16</v>
      </c>
      <c r="O39" s="71" t="str">
        <f t="shared" si="6"/>
        <v>12</v>
      </c>
      <c r="P39" s="17">
        <f t="shared" si="14"/>
        <v>150</v>
      </c>
      <c r="Q39" s="5">
        <v>0</v>
      </c>
      <c r="R39" s="17">
        <f t="shared" si="7"/>
        <v>0</v>
      </c>
      <c r="S39" s="18">
        <f t="shared" si="8"/>
        <v>0</v>
      </c>
      <c r="T39" s="17">
        <f t="shared" si="15"/>
        <v>150</v>
      </c>
      <c r="U39" s="17" t="str">
        <f t="shared" si="9"/>
        <v>-</v>
      </c>
      <c r="V39" s="17">
        <f t="shared" si="10"/>
        <v>0</v>
      </c>
      <c r="W39" s="150" t="str">
        <f t="shared" si="11"/>
        <v>Velocidade OK</v>
      </c>
      <c r="X39" s="195" t="str">
        <f t="shared" si="12"/>
        <v>-</v>
      </c>
      <c r="Z39" s="240"/>
      <c r="AA39" s="276"/>
      <c r="AB39" s="276"/>
      <c r="AC39" s="241"/>
    </row>
    <row r="40" spans="2:33" ht="15" customHeight="1" x14ac:dyDescent="0.3">
      <c r="B40" s="14" t="s">
        <v>137</v>
      </c>
      <c r="C40" s="146" t="s">
        <v>138</v>
      </c>
      <c r="D40" s="3">
        <v>0</v>
      </c>
      <c r="E40" s="17" t="str">
        <f t="shared" si="1"/>
        <v>100,00</v>
      </c>
      <c r="F40" s="25">
        <f t="shared" si="2"/>
        <v>0</v>
      </c>
      <c r="G40" s="17">
        <f t="shared" si="13"/>
        <v>0</v>
      </c>
      <c r="H40" s="4">
        <v>0</v>
      </c>
      <c r="I40" s="93"/>
      <c r="J40" s="17" t="b">
        <f t="shared" si="3"/>
        <v>0</v>
      </c>
      <c r="K40" s="24">
        <f t="shared" si="4"/>
        <v>50</v>
      </c>
      <c r="L40" s="17">
        <f t="shared" si="5"/>
        <v>0</v>
      </c>
      <c r="M40" s="72">
        <f t="shared" si="16"/>
        <v>0</v>
      </c>
      <c r="N40" s="2">
        <v>16</v>
      </c>
      <c r="O40" s="71" t="str">
        <f t="shared" si="6"/>
        <v>12</v>
      </c>
      <c r="P40" s="17">
        <f t="shared" si="14"/>
        <v>150</v>
      </c>
      <c r="Q40" s="5">
        <v>0</v>
      </c>
      <c r="R40" s="17">
        <f t="shared" si="7"/>
        <v>0</v>
      </c>
      <c r="S40" s="18">
        <f t="shared" si="8"/>
        <v>0</v>
      </c>
      <c r="T40" s="17">
        <f t="shared" si="15"/>
        <v>150</v>
      </c>
      <c r="U40" s="17" t="str">
        <f t="shared" si="9"/>
        <v>-</v>
      </c>
      <c r="V40" s="17">
        <f t="shared" si="10"/>
        <v>0</v>
      </c>
      <c r="W40" s="150" t="str">
        <f t="shared" si="11"/>
        <v>Velocidade OK</v>
      </c>
      <c r="X40" s="195" t="str">
        <f t="shared" si="12"/>
        <v>-</v>
      </c>
      <c r="Z40" s="242"/>
      <c r="AA40" s="256"/>
      <c r="AB40" s="256"/>
      <c r="AC40" s="243"/>
    </row>
    <row r="41" spans="2:33" ht="15.75" customHeight="1" thickBot="1" x14ac:dyDescent="0.35">
      <c r="B41" s="14" t="s">
        <v>138</v>
      </c>
      <c r="C41" s="146" t="s">
        <v>139</v>
      </c>
      <c r="D41" s="3">
        <v>0</v>
      </c>
      <c r="E41" s="17" t="str">
        <f t="shared" si="1"/>
        <v>100,00</v>
      </c>
      <c r="F41" s="25">
        <f t="shared" si="2"/>
        <v>0</v>
      </c>
      <c r="G41" s="17">
        <f t="shared" si="13"/>
        <v>0</v>
      </c>
      <c r="H41" s="4">
        <v>0</v>
      </c>
      <c r="I41" s="93"/>
      <c r="J41" s="17" t="b">
        <f t="shared" si="3"/>
        <v>0</v>
      </c>
      <c r="K41" s="24">
        <f t="shared" si="4"/>
        <v>50</v>
      </c>
      <c r="L41" s="17">
        <f t="shared" si="5"/>
        <v>0</v>
      </c>
      <c r="M41" s="72">
        <f t="shared" si="16"/>
        <v>0</v>
      </c>
      <c r="N41" s="2">
        <v>16</v>
      </c>
      <c r="O41" s="71" t="str">
        <f t="shared" si="6"/>
        <v>12</v>
      </c>
      <c r="P41" s="17">
        <f t="shared" si="14"/>
        <v>150</v>
      </c>
      <c r="Q41" s="5">
        <v>0</v>
      </c>
      <c r="R41" s="17">
        <f t="shared" si="7"/>
        <v>0</v>
      </c>
      <c r="S41" s="18">
        <f t="shared" si="8"/>
        <v>0</v>
      </c>
      <c r="T41" s="17">
        <f t="shared" si="15"/>
        <v>150</v>
      </c>
      <c r="U41" s="17" t="str">
        <f t="shared" si="9"/>
        <v>-</v>
      </c>
      <c r="V41" s="17">
        <f t="shared" si="10"/>
        <v>0</v>
      </c>
      <c r="W41" s="150" t="str">
        <f t="shared" si="11"/>
        <v>Velocidade OK</v>
      </c>
      <c r="X41" s="195" t="str">
        <f t="shared" si="12"/>
        <v>-</v>
      </c>
      <c r="Z41" s="244"/>
      <c r="AA41" s="277"/>
      <c r="AB41" s="277"/>
      <c r="AC41" s="245"/>
    </row>
    <row r="42" spans="2:33" ht="16.2" thickBot="1" x14ac:dyDescent="0.35">
      <c r="B42" s="14" t="s">
        <v>139</v>
      </c>
      <c r="C42" s="146" t="s">
        <v>140</v>
      </c>
      <c r="D42" s="3">
        <v>0</v>
      </c>
      <c r="E42" s="17" t="str">
        <f t="shared" si="1"/>
        <v>100,00</v>
      </c>
      <c r="F42" s="25">
        <f t="shared" si="2"/>
        <v>0</v>
      </c>
      <c r="G42" s="17">
        <f t="shared" si="13"/>
        <v>0</v>
      </c>
      <c r="H42" s="4">
        <v>0</v>
      </c>
      <c r="I42" s="93"/>
      <c r="J42" s="17" t="b">
        <f t="shared" si="3"/>
        <v>0</v>
      </c>
      <c r="K42" s="24">
        <f t="shared" si="4"/>
        <v>50</v>
      </c>
      <c r="L42" s="17">
        <f t="shared" si="5"/>
        <v>0</v>
      </c>
      <c r="M42" s="72">
        <f t="shared" si="16"/>
        <v>0</v>
      </c>
      <c r="N42" s="2">
        <v>16</v>
      </c>
      <c r="O42" s="71" t="str">
        <f t="shared" si="6"/>
        <v>12</v>
      </c>
      <c r="P42" s="17">
        <f t="shared" si="14"/>
        <v>150</v>
      </c>
      <c r="Q42" s="5">
        <v>0</v>
      </c>
      <c r="R42" s="17">
        <f t="shared" si="7"/>
        <v>0</v>
      </c>
      <c r="S42" s="18">
        <f t="shared" si="8"/>
        <v>0</v>
      </c>
      <c r="T42" s="17">
        <f t="shared" si="15"/>
        <v>150</v>
      </c>
      <c r="U42" s="17" t="str">
        <f t="shared" si="9"/>
        <v>-</v>
      </c>
      <c r="V42" s="17">
        <f t="shared" si="10"/>
        <v>0</v>
      </c>
      <c r="W42" s="150" t="str">
        <f t="shared" si="11"/>
        <v>Velocidade OK</v>
      </c>
      <c r="X42" s="195" t="str">
        <f t="shared" si="12"/>
        <v>-</v>
      </c>
      <c r="Z42" s="262" t="s">
        <v>41</v>
      </c>
      <c r="AA42" s="263"/>
      <c r="AB42" s="263"/>
      <c r="AC42" s="264"/>
    </row>
    <row r="43" spans="2:33" ht="15" thickBot="1" x14ac:dyDescent="0.35">
      <c r="B43" s="14" t="s">
        <v>140</v>
      </c>
      <c r="C43" s="146" t="s">
        <v>141</v>
      </c>
      <c r="D43" s="3">
        <v>0</v>
      </c>
      <c r="E43" s="17" t="str">
        <f t="shared" si="1"/>
        <v>100,00</v>
      </c>
      <c r="F43" s="25">
        <f t="shared" si="2"/>
        <v>0</v>
      </c>
      <c r="G43" s="17">
        <f t="shared" si="13"/>
        <v>0</v>
      </c>
      <c r="H43" s="4">
        <v>0</v>
      </c>
      <c r="I43" s="93"/>
      <c r="J43" s="17" t="b">
        <f t="shared" si="3"/>
        <v>0</v>
      </c>
      <c r="K43" s="24">
        <f t="shared" si="4"/>
        <v>50</v>
      </c>
      <c r="L43" s="17">
        <f t="shared" si="5"/>
        <v>0</v>
      </c>
      <c r="M43" s="72">
        <f t="shared" ref="M43:M51" si="17">SUM(H43+L43)</f>
        <v>0</v>
      </c>
      <c r="N43" s="2">
        <v>16</v>
      </c>
      <c r="O43" s="71" t="str">
        <f t="shared" si="6"/>
        <v>12</v>
      </c>
      <c r="P43" s="17">
        <f t="shared" si="14"/>
        <v>150</v>
      </c>
      <c r="Q43" s="5">
        <v>0</v>
      </c>
      <c r="R43" s="17">
        <f t="shared" si="7"/>
        <v>0</v>
      </c>
      <c r="S43" s="18">
        <f t="shared" si="8"/>
        <v>0</v>
      </c>
      <c r="T43" s="17">
        <f t="shared" si="15"/>
        <v>150</v>
      </c>
      <c r="U43" s="17" t="str">
        <f t="shared" si="9"/>
        <v>-</v>
      </c>
      <c r="V43" s="17">
        <f t="shared" si="10"/>
        <v>0</v>
      </c>
      <c r="W43" s="150" t="str">
        <f t="shared" si="11"/>
        <v>Velocidade OK</v>
      </c>
      <c r="X43" s="195" t="str">
        <f t="shared" si="12"/>
        <v>-</v>
      </c>
    </row>
    <row r="44" spans="2:33" ht="15" customHeight="1" x14ac:dyDescent="0.3">
      <c r="B44" s="14" t="s">
        <v>141</v>
      </c>
      <c r="C44" s="146" t="s">
        <v>142</v>
      </c>
      <c r="D44" s="3">
        <v>0</v>
      </c>
      <c r="E44" s="17" t="str">
        <f t="shared" si="1"/>
        <v>100,00</v>
      </c>
      <c r="F44" s="25">
        <f t="shared" si="2"/>
        <v>0</v>
      </c>
      <c r="G44" s="17">
        <f t="shared" si="13"/>
        <v>0</v>
      </c>
      <c r="H44" s="4">
        <v>0</v>
      </c>
      <c r="I44" s="93"/>
      <c r="J44" s="17" t="b">
        <f t="shared" si="3"/>
        <v>0</v>
      </c>
      <c r="K44" s="24">
        <f t="shared" si="4"/>
        <v>50</v>
      </c>
      <c r="L44" s="17">
        <f t="shared" si="5"/>
        <v>0</v>
      </c>
      <c r="M44" s="72">
        <f t="shared" si="17"/>
        <v>0</v>
      </c>
      <c r="N44" s="2">
        <v>16</v>
      </c>
      <c r="O44" s="71" t="str">
        <f t="shared" si="6"/>
        <v>12</v>
      </c>
      <c r="P44" s="17">
        <f t="shared" si="14"/>
        <v>150</v>
      </c>
      <c r="Q44" s="5">
        <v>0</v>
      </c>
      <c r="R44" s="17">
        <f t="shared" si="7"/>
        <v>0</v>
      </c>
      <c r="S44" s="18">
        <f t="shared" si="8"/>
        <v>0</v>
      </c>
      <c r="T44" s="17">
        <f t="shared" si="15"/>
        <v>150</v>
      </c>
      <c r="U44" s="17" t="str">
        <f t="shared" si="9"/>
        <v>-</v>
      </c>
      <c r="V44" s="17">
        <f t="shared" si="10"/>
        <v>0</v>
      </c>
      <c r="W44" s="150" t="str">
        <f t="shared" si="11"/>
        <v>Velocidade OK</v>
      </c>
      <c r="X44" s="195" t="str">
        <f t="shared" si="12"/>
        <v>-</v>
      </c>
      <c r="Z44" s="240"/>
      <c r="AA44" s="276"/>
      <c r="AB44" s="276"/>
      <c r="AC44" s="241"/>
    </row>
    <row r="45" spans="2:33" ht="15" customHeight="1" x14ac:dyDescent="0.3">
      <c r="B45" s="14" t="s">
        <v>142</v>
      </c>
      <c r="C45" s="146" t="s">
        <v>143</v>
      </c>
      <c r="D45" s="3">
        <v>0</v>
      </c>
      <c r="E45" s="17" t="str">
        <f t="shared" si="1"/>
        <v>100,00</v>
      </c>
      <c r="F45" s="25">
        <f t="shared" si="2"/>
        <v>0</v>
      </c>
      <c r="G45" s="17">
        <f t="shared" si="13"/>
        <v>0</v>
      </c>
      <c r="H45" s="4">
        <v>0</v>
      </c>
      <c r="I45" s="93"/>
      <c r="J45" s="17" t="b">
        <f t="shared" si="3"/>
        <v>0</v>
      </c>
      <c r="K45" s="24">
        <f t="shared" si="4"/>
        <v>50</v>
      </c>
      <c r="L45" s="17">
        <f t="shared" si="5"/>
        <v>0</v>
      </c>
      <c r="M45" s="72">
        <f t="shared" si="17"/>
        <v>0</v>
      </c>
      <c r="N45" s="2">
        <v>16</v>
      </c>
      <c r="O45" s="71" t="str">
        <f t="shared" si="6"/>
        <v>12</v>
      </c>
      <c r="P45" s="17">
        <f t="shared" si="14"/>
        <v>150</v>
      </c>
      <c r="Q45" s="5">
        <v>0</v>
      </c>
      <c r="R45" s="17">
        <f t="shared" si="7"/>
        <v>0</v>
      </c>
      <c r="S45" s="18">
        <f t="shared" si="8"/>
        <v>0</v>
      </c>
      <c r="T45" s="17">
        <f t="shared" si="15"/>
        <v>150</v>
      </c>
      <c r="U45" s="17" t="str">
        <f t="shared" si="9"/>
        <v>-</v>
      </c>
      <c r="V45" s="17">
        <f t="shared" si="10"/>
        <v>0</v>
      </c>
      <c r="W45" s="150" t="str">
        <f t="shared" si="11"/>
        <v>Velocidade OK</v>
      </c>
      <c r="X45" s="195" t="str">
        <f t="shared" si="12"/>
        <v>-</v>
      </c>
      <c r="Z45" s="242"/>
      <c r="AA45" s="256"/>
      <c r="AB45" s="256"/>
      <c r="AC45" s="243"/>
    </row>
    <row r="46" spans="2:33" ht="15.75" customHeight="1" thickBot="1" x14ac:dyDescent="0.35">
      <c r="B46" s="14" t="s">
        <v>143</v>
      </c>
      <c r="C46" s="146" t="s">
        <v>144</v>
      </c>
      <c r="D46" s="3">
        <v>0</v>
      </c>
      <c r="E46" s="17" t="str">
        <f t="shared" si="1"/>
        <v>100,00</v>
      </c>
      <c r="F46" s="25">
        <f t="shared" si="2"/>
        <v>0</v>
      </c>
      <c r="G46" s="17">
        <f t="shared" si="13"/>
        <v>0</v>
      </c>
      <c r="H46" s="4">
        <v>0</v>
      </c>
      <c r="I46" s="93"/>
      <c r="J46" s="17" t="b">
        <f t="shared" si="3"/>
        <v>0</v>
      </c>
      <c r="K46" s="24">
        <f t="shared" si="4"/>
        <v>50</v>
      </c>
      <c r="L46" s="17">
        <f t="shared" si="5"/>
        <v>0</v>
      </c>
      <c r="M46" s="72">
        <f t="shared" si="17"/>
        <v>0</v>
      </c>
      <c r="N46" s="2">
        <v>16</v>
      </c>
      <c r="O46" s="71" t="str">
        <f t="shared" si="6"/>
        <v>12</v>
      </c>
      <c r="P46" s="17">
        <f t="shared" si="14"/>
        <v>150</v>
      </c>
      <c r="Q46" s="5">
        <v>0</v>
      </c>
      <c r="R46" s="17">
        <f t="shared" si="7"/>
        <v>0</v>
      </c>
      <c r="S46" s="18">
        <f t="shared" si="8"/>
        <v>0</v>
      </c>
      <c r="T46" s="17">
        <f t="shared" si="15"/>
        <v>150</v>
      </c>
      <c r="U46" s="17" t="str">
        <f t="shared" si="9"/>
        <v>-</v>
      </c>
      <c r="V46" s="17">
        <f t="shared" si="10"/>
        <v>0</v>
      </c>
      <c r="W46" s="150" t="str">
        <f t="shared" si="11"/>
        <v>Velocidade OK</v>
      </c>
      <c r="X46" s="195" t="str">
        <f t="shared" si="12"/>
        <v>-</v>
      </c>
      <c r="Z46" s="244"/>
      <c r="AA46" s="277"/>
      <c r="AB46" s="277"/>
      <c r="AC46" s="245"/>
    </row>
    <row r="47" spans="2:33" ht="16.2" thickBot="1" x14ac:dyDescent="0.35">
      <c r="B47" s="14" t="s">
        <v>144</v>
      </c>
      <c r="C47" s="146" t="s">
        <v>145</v>
      </c>
      <c r="D47" s="3">
        <v>0</v>
      </c>
      <c r="E47" s="17" t="str">
        <f t="shared" si="1"/>
        <v>100,00</v>
      </c>
      <c r="F47" s="25">
        <f t="shared" si="2"/>
        <v>0</v>
      </c>
      <c r="G47" s="17">
        <f t="shared" si="13"/>
        <v>0</v>
      </c>
      <c r="H47" s="4">
        <v>0</v>
      </c>
      <c r="I47" s="93"/>
      <c r="J47" s="17" t="b">
        <f t="shared" si="3"/>
        <v>0</v>
      </c>
      <c r="K47" s="24">
        <f t="shared" si="4"/>
        <v>50</v>
      </c>
      <c r="L47" s="17">
        <f t="shared" si="5"/>
        <v>0</v>
      </c>
      <c r="M47" s="72">
        <f t="shared" si="17"/>
        <v>0</v>
      </c>
      <c r="N47" s="2">
        <v>16</v>
      </c>
      <c r="O47" s="71" t="str">
        <f t="shared" si="6"/>
        <v>12</v>
      </c>
      <c r="P47" s="17">
        <f t="shared" si="14"/>
        <v>150</v>
      </c>
      <c r="Q47" s="5">
        <v>0</v>
      </c>
      <c r="R47" s="17">
        <f t="shared" si="7"/>
        <v>0</v>
      </c>
      <c r="S47" s="18">
        <f t="shared" si="8"/>
        <v>0</v>
      </c>
      <c r="T47" s="17">
        <f t="shared" si="15"/>
        <v>150</v>
      </c>
      <c r="U47" s="17" t="str">
        <f t="shared" si="9"/>
        <v>-</v>
      </c>
      <c r="V47" s="17">
        <f t="shared" si="10"/>
        <v>0</v>
      </c>
      <c r="W47" s="150" t="str">
        <f t="shared" si="11"/>
        <v>Velocidade OK</v>
      </c>
      <c r="X47" s="195" t="str">
        <f t="shared" si="12"/>
        <v>-</v>
      </c>
      <c r="Z47" s="262" t="s">
        <v>42</v>
      </c>
      <c r="AA47" s="263"/>
      <c r="AB47" s="263"/>
      <c r="AC47" s="264"/>
    </row>
    <row r="48" spans="2:33" ht="15" thickBot="1" x14ac:dyDescent="0.35">
      <c r="B48" s="14" t="s">
        <v>145</v>
      </c>
      <c r="C48" s="146" t="s">
        <v>146</v>
      </c>
      <c r="D48" s="3">
        <v>0</v>
      </c>
      <c r="E48" s="17" t="str">
        <f t="shared" si="1"/>
        <v>100,00</v>
      </c>
      <c r="F48" s="25">
        <f t="shared" si="2"/>
        <v>0</v>
      </c>
      <c r="G48" s="17">
        <f t="shared" si="13"/>
        <v>0</v>
      </c>
      <c r="H48" s="4">
        <v>0</v>
      </c>
      <c r="I48" s="93"/>
      <c r="J48" s="17" t="b">
        <f t="shared" si="3"/>
        <v>0</v>
      </c>
      <c r="K48" s="24">
        <f t="shared" si="4"/>
        <v>50</v>
      </c>
      <c r="L48" s="17">
        <f t="shared" si="5"/>
        <v>0</v>
      </c>
      <c r="M48" s="72">
        <f t="shared" si="17"/>
        <v>0</v>
      </c>
      <c r="N48" s="2">
        <v>16</v>
      </c>
      <c r="O48" s="71" t="str">
        <f t="shared" si="6"/>
        <v>12</v>
      </c>
      <c r="P48" s="17">
        <f t="shared" si="14"/>
        <v>150</v>
      </c>
      <c r="Q48" s="5">
        <v>0</v>
      </c>
      <c r="R48" s="17">
        <f t="shared" si="7"/>
        <v>0</v>
      </c>
      <c r="S48" s="18">
        <f t="shared" si="8"/>
        <v>0</v>
      </c>
      <c r="T48" s="17">
        <f t="shared" si="15"/>
        <v>150</v>
      </c>
      <c r="U48" s="17" t="str">
        <f t="shared" si="9"/>
        <v>-</v>
      </c>
      <c r="V48" s="17">
        <f t="shared" si="10"/>
        <v>0</v>
      </c>
      <c r="W48" s="150" t="str">
        <f t="shared" si="11"/>
        <v>Velocidade OK</v>
      </c>
      <c r="X48" s="195" t="str">
        <f t="shared" si="12"/>
        <v>-</v>
      </c>
    </row>
    <row r="49" spans="2:29" ht="15" customHeight="1" x14ac:dyDescent="0.3">
      <c r="B49" s="14" t="s">
        <v>146</v>
      </c>
      <c r="C49" s="146" t="s">
        <v>147</v>
      </c>
      <c r="D49" s="3">
        <v>0</v>
      </c>
      <c r="E49" s="17" t="str">
        <f t="shared" si="1"/>
        <v>100,00</v>
      </c>
      <c r="F49" s="25">
        <f t="shared" si="2"/>
        <v>0</v>
      </c>
      <c r="G49" s="17">
        <f t="shared" si="13"/>
        <v>0</v>
      </c>
      <c r="H49" s="4">
        <v>0</v>
      </c>
      <c r="I49" s="93"/>
      <c r="J49" s="17" t="b">
        <f t="shared" si="3"/>
        <v>0</v>
      </c>
      <c r="K49" s="24">
        <f t="shared" si="4"/>
        <v>50</v>
      </c>
      <c r="L49" s="17">
        <f t="shared" si="5"/>
        <v>0</v>
      </c>
      <c r="M49" s="72">
        <f t="shared" si="17"/>
        <v>0</v>
      </c>
      <c r="N49" s="2">
        <v>16</v>
      </c>
      <c r="O49" s="71" t="str">
        <f t="shared" si="6"/>
        <v>12</v>
      </c>
      <c r="P49" s="17">
        <f t="shared" si="14"/>
        <v>150</v>
      </c>
      <c r="Q49" s="5">
        <v>0</v>
      </c>
      <c r="R49" s="17">
        <f t="shared" si="7"/>
        <v>0</v>
      </c>
      <c r="S49" s="18">
        <f t="shared" si="8"/>
        <v>0</v>
      </c>
      <c r="T49" s="17">
        <f t="shared" si="15"/>
        <v>150</v>
      </c>
      <c r="U49" s="17" t="str">
        <f t="shared" si="9"/>
        <v>-</v>
      </c>
      <c r="V49" s="17">
        <f t="shared" si="10"/>
        <v>0</v>
      </c>
      <c r="W49" s="150" t="str">
        <f t="shared" si="11"/>
        <v>Velocidade OK</v>
      </c>
      <c r="X49" s="195" t="str">
        <f t="shared" si="12"/>
        <v>-</v>
      </c>
      <c r="Z49" s="82"/>
      <c r="AA49" s="88"/>
      <c r="AB49" s="88"/>
      <c r="AC49" s="83"/>
    </row>
    <row r="50" spans="2:29" ht="15" customHeight="1" x14ac:dyDescent="0.3">
      <c r="B50" s="14" t="s">
        <v>147</v>
      </c>
      <c r="C50" s="146" t="s">
        <v>148</v>
      </c>
      <c r="D50" s="3">
        <v>0</v>
      </c>
      <c r="E50" s="17" t="str">
        <f t="shared" si="1"/>
        <v>100,00</v>
      </c>
      <c r="F50" s="25">
        <f t="shared" si="2"/>
        <v>0</v>
      </c>
      <c r="G50" s="17">
        <f t="shared" si="13"/>
        <v>0</v>
      </c>
      <c r="H50" s="4">
        <v>0</v>
      </c>
      <c r="I50" s="93"/>
      <c r="J50" s="17" t="b">
        <f t="shared" si="3"/>
        <v>0</v>
      </c>
      <c r="K50" s="24">
        <f t="shared" si="4"/>
        <v>50</v>
      </c>
      <c r="L50" s="17">
        <f t="shared" si="5"/>
        <v>0</v>
      </c>
      <c r="M50" s="72">
        <f t="shared" si="17"/>
        <v>0</v>
      </c>
      <c r="N50" s="2">
        <v>16</v>
      </c>
      <c r="O50" s="71" t="str">
        <f t="shared" si="6"/>
        <v>12</v>
      </c>
      <c r="P50" s="17">
        <f t="shared" si="14"/>
        <v>150</v>
      </c>
      <c r="Q50" s="5">
        <v>0</v>
      </c>
      <c r="R50" s="17">
        <f t="shared" si="7"/>
        <v>0</v>
      </c>
      <c r="S50" s="18">
        <f t="shared" si="8"/>
        <v>0</v>
      </c>
      <c r="T50" s="17">
        <f t="shared" si="15"/>
        <v>150</v>
      </c>
      <c r="U50" s="17" t="str">
        <f t="shared" si="9"/>
        <v>-</v>
      </c>
      <c r="V50" s="17">
        <f t="shared" si="10"/>
        <v>0</v>
      </c>
      <c r="W50" s="150" t="str">
        <f t="shared" si="11"/>
        <v>Velocidade OK</v>
      </c>
      <c r="X50" s="195" t="str">
        <f t="shared" si="12"/>
        <v>-</v>
      </c>
      <c r="Z50" s="84"/>
      <c r="AA50" s="86"/>
      <c r="AB50" s="86"/>
      <c r="AC50" s="85"/>
    </row>
    <row r="51" spans="2:29" ht="15" customHeight="1" thickBot="1" x14ac:dyDescent="0.35">
      <c r="B51" s="14" t="s">
        <v>148</v>
      </c>
      <c r="C51" s="146" t="s">
        <v>149</v>
      </c>
      <c r="D51" s="3">
        <v>0</v>
      </c>
      <c r="E51" s="17" t="str">
        <f t="shared" si="1"/>
        <v>100,00</v>
      </c>
      <c r="F51" s="25">
        <f t="shared" si="2"/>
        <v>0</v>
      </c>
      <c r="G51" s="17">
        <f t="shared" si="13"/>
        <v>0</v>
      </c>
      <c r="H51" s="4">
        <v>0</v>
      </c>
      <c r="I51" s="93"/>
      <c r="J51" s="17" t="b">
        <f t="shared" si="3"/>
        <v>0</v>
      </c>
      <c r="K51" s="24">
        <f t="shared" si="4"/>
        <v>50</v>
      </c>
      <c r="L51" s="17">
        <f t="shared" si="5"/>
        <v>0</v>
      </c>
      <c r="M51" s="72">
        <f t="shared" si="17"/>
        <v>0</v>
      </c>
      <c r="N51" s="2">
        <v>16</v>
      </c>
      <c r="O51" s="71" t="str">
        <f t="shared" si="6"/>
        <v>12</v>
      </c>
      <c r="P51" s="17">
        <f t="shared" si="14"/>
        <v>150</v>
      </c>
      <c r="Q51" s="5">
        <v>0</v>
      </c>
      <c r="R51" s="17">
        <f t="shared" si="7"/>
        <v>0</v>
      </c>
      <c r="S51" s="18">
        <f t="shared" si="8"/>
        <v>0</v>
      </c>
      <c r="T51" s="17">
        <f t="shared" si="15"/>
        <v>150</v>
      </c>
      <c r="U51" s="17" t="str">
        <f t="shared" si="9"/>
        <v>-</v>
      </c>
      <c r="V51" s="17">
        <f t="shared" si="10"/>
        <v>0</v>
      </c>
      <c r="W51" s="150" t="str">
        <f t="shared" si="11"/>
        <v>Velocidade OK</v>
      </c>
      <c r="X51" s="195" t="str">
        <f t="shared" si="12"/>
        <v>-</v>
      </c>
      <c r="Z51" s="84"/>
      <c r="AA51" s="86"/>
      <c r="AB51" s="86"/>
      <c r="AC51" s="85"/>
    </row>
    <row r="52" spans="2:29" ht="15.75" customHeight="1" thickBot="1" x14ac:dyDescent="0.35">
      <c r="B52" s="176" t="s">
        <v>148</v>
      </c>
      <c r="C52" s="177">
        <v>1</v>
      </c>
      <c r="D52" s="3">
        <v>0</v>
      </c>
      <c r="E52" s="20" t="str">
        <f t="shared" si="1"/>
        <v>100,00</v>
      </c>
      <c r="F52" s="26">
        <f t="shared" si="2"/>
        <v>0</v>
      </c>
      <c r="G52" s="20">
        <f t="shared" si="13"/>
        <v>0</v>
      </c>
      <c r="H52" s="4">
        <v>0</v>
      </c>
      <c r="I52" s="141"/>
      <c r="J52" s="20" t="b">
        <f t="shared" si="3"/>
        <v>0</v>
      </c>
      <c r="K52" s="67">
        <f t="shared" si="4"/>
        <v>50</v>
      </c>
      <c r="L52" s="20">
        <f t="shared" si="5"/>
        <v>0</v>
      </c>
      <c r="M52" s="95">
        <f t="shared" si="16"/>
        <v>0</v>
      </c>
      <c r="N52" s="142">
        <v>16</v>
      </c>
      <c r="O52" s="97" t="str">
        <f t="shared" si="6"/>
        <v>12</v>
      </c>
      <c r="P52" s="20">
        <f t="shared" si="14"/>
        <v>150</v>
      </c>
      <c r="Q52" s="15">
        <v>0</v>
      </c>
      <c r="R52" s="20">
        <f t="shared" si="7"/>
        <v>0</v>
      </c>
      <c r="S52" s="143">
        <f t="shared" si="8"/>
        <v>0</v>
      </c>
      <c r="T52" s="20">
        <f t="shared" si="15"/>
        <v>150</v>
      </c>
      <c r="U52" s="20" t="str">
        <f t="shared" si="9"/>
        <v>-</v>
      </c>
      <c r="V52" s="20">
        <f t="shared" si="10"/>
        <v>0</v>
      </c>
      <c r="W52" s="151" t="str">
        <f t="shared" si="11"/>
        <v>Velocidade OK</v>
      </c>
      <c r="X52" s="196">
        <f t="shared" si="12"/>
        <v>150</v>
      </c>
      <c r="Z52" s="262" t="s">
        <v>43</v>
      </c>
      <c r="AA52" s="263"/>
      <c r="AB52" s="263"/>
      <c r="AC52" s="264"/>
    </row>
    <row r="53" spans="2:29" ht="15" customHeight="1" x14ac:dyDescent="0.3">
      <c r="B53" s="42"/>
      <c r="C53" s="42"/>
      <c r="D53" s="43"/>
      <c r="E53" s="44"/>
      <c r="F53" s="45"/>
      <c r="G53" s="44"/>
      <c r="H53" s="46"/>
      <c r="I53" s="47"/>
      <c r="J53" s="44"/>
      <c r="K53" s="48"/>
      <c r="L53" s="44"/>
      <c r="M53" s="44"/>
      <c r="N53" s="49"/>
      <c r="O53" s="50"/>
      <c r="P53" s="44"/>
      <c r="Q53" s="51"/>
      <c r="R53" s="44"/>
      <c r="S53" s="44"/>
      <c r="T53" s="44"/>
      <c r="U53" s="44"/>
      <c r="V53" s="44"/>
      <c r="W53" s="52"/>
      <c r="X53" s="52"/>
    </row>
    <row r="54" spans="2:29" ht="15.75" customHeight="1" thickBot="1" x14ac:dyDescent="0.35">
      <c r="B54" s="7"/>
      <c r="C54" s="7"/>
      <c r="I54" s="13"/>
      <c r="J54" s="13"/>
      <c r="K54" s="13"/>
      <c r="L54" s="9"/>
      <c r="M54" s="9"/>
      <c r="N54" s="9"/>
      <c r="O54" s="105"/>
      <c r="P54" s="8"/>
      <c r="Q54" s="9"/>
      <c r="R54" s="9"/>
      <c r="S54" s="9"/>
      <c r="T54" s="10"/>
      <c r="U54" s="7"/>
      <c r="V54" s="7"/>
      <c r="Z54" s="86"/>
      <c r="AA54" s="86"/>
      <c r="AB54" s="87"/>
      <c r="AC54" s="87"/>
    </row>
    <row r="55" spans="2:29" ht="15" customHeight="1" x14ac:dyDescent="0.3">
      <c r="B55" s="7"/>
      <c r="C55" s="7"/>
      <c r="D55" s="30" t="s">
        <v>30</v>
      </c>
      <c r="E55" s="31"/>
      <c r="F55" s="31"/>
      <c r="G55" s="31"/>
      <c r="H55" s="32"/>
      <c r="I55" s="33"/>
      <c r="J55" s="40"/>
      <c r="K55" s="34"/>
      <c r="L55" s="158" t="s">
        <v>157</v>
      </c>
      <c r="M55" s="315" t="s">
        <v>158</v>
      </c>
      <c r="N55" s="316"/>
      <c r="O55" s="316"/>
      <c r="P55" s="317"/>
      <c r="Q55" s="313">
        <f>P12-D56</f>
        <v>105</v>
      </c>
      <c r="R55" s="106"/>
      <c r="S55" s="106"/>
      <c r="T55" s="106"/>
      <c r="U55" s="106"/>
      <c r="V55" s="106"/>
      <c r="W55" s="106"/>
      <c r="X55" s="106"/>
    </row>
    <row r="56" spans="2:29" ht="21.6" thickBot="1" x14ac:dyDescent="0.45">
      <c r="B56" s="7"/>
      <c r="C56" s="7"/>
      <c r="D56" s="35">
        <f>P12*0.3</f>
        <v>45</v>
      </c>
      <c r="E56" s="116"/>
      <c r="F56" s="116"/>
      <c r="G56" s="37" t="s">
        <v>93</v>
      </c>
      <c r="H56" s="117"/>
      <c r="I56" s="34"/>
      <c r="J56" s="41"/>
      <c r="K56" s="34"/>
      <c r="L56" s="12"/>
      <c r="M56" s="318"/>
      <c r="N56" s="319"/>
      <c r="O56" s="319"/>
      <c r="P56" s="320"/>
      <c r="Q56" s="314"/>
      <c r="R56" s="106"/>
      <c r="S56" s="106"/>
      <c r="T56" s="106"/>
      <c r="U56" s="106"/>
      <c r="V56" s="106"/>
      <c r="W56" s="106"/>
      <c r="X56" s="106"/>
      <c r="Z56" s="256"/>
      <c r="AA56" s="256"/>
      <c r="AB56" s="257"/>
      <c r="AC56" s="258"/>
    </row>
    <row r="57" spans="2:29" ht="21.6" thickBot="1" x14ac:dyDescent="0.45">
      <c r="B57" s="7"/>
      <c r="C57" s="7"/>
      <c r="D57" s="53"/>
      <c r="E57" s="118"/>
      <c r="F57" s="118"/>
      <c r="G57" s="55"/>
      <c r="H57" s="118"/>
      <c r="I57" s="34"/>
      <c r="J57" s="41"/>
      <c r="K57" s="34"/>
      <c r="L57" s="34"/>
      <c r="M57" s="56"/>
      <c r="N57" s="56"/>
      <c r="O57" s="56"/>
      <c r="P57" s="57"/>
      <c r="Q57" s="58"/>
      <c r="R57" s="58"/>
      <c r="S57" s="58"/>
      <c r="T57" s="58"/>
      <c r="U57" s="58"/>
      <c r="V57" s="58"/>
      <c r="W57" s="58"/>
      <c r="X57" s="58"/>
      <c r="Z57" s="256"/>
      <c r="AA57" s="256"/>
      <c r="AB57" s="258"/>
      <c r="AC57" s="258"/>
    </row>
    <row r="58" spans="2:29" ht="24" customHeight="1" thickBot="1" x14ac:dyDescent="0.35">
      <c r="B58" s="254" t="s">
        <v>155</v>
      </c>
      <c r="C58" s="255"/>
      <c r="D58" s="228"/>
      <c r="E58" s="228"/>
      <c r="F58" s="228"/>
      <c r="G58" s="228"/>
      <c r="H58" s="228"/>
      <c r="I58" s="232"/>
      <c r="J58" s="232"/>
      <c r="K58" s="232"/>
      <c r="L58" s="232"/>
      <c r="M58" s="232"/>
      <c r="N58" s="232"/>
      <c r="O58" s="228"/>
      <c r="P58" s="232"/>
      <c r="Q58" s="232"/>
      <c r="R58" s="228"/>
      <c r="S58" s="228"/>
      <c r="T58" s="228"/>
      <c r="U58" s="228"/>
      <c r="V58" s="228"/>
      <c r="W58" s="229"/>
      <c r="X58" s="153"/>
      <c r="Y58" s="105"/>
      <c r="Z58" s="256"/>
      <c r="AA58" s="256"/>
      <c r="AB58" s="258"/>
      <c r="AC58" s="258"/>
    </row>
    <row r="59" spans="2:29" ht="24" customHeight="1" thickTop="1" thickBot="1" x14ac:dyDescent="0.45">
      <c r="B59" s="91"/>
      <c r="C59" s="145"/>
      <c r="D59" s="41"/>
      <c r="E59" s="41"/>
      <c r="F59" s="41"/>
      <c r="G59" s="41"/>
      <c r="H59" s="92"/>
      <c r="I59" s="259" t="s">
        <v>163</v>
      </c>
      <c r="J59" s="260"/>
      <c r="K59" s="260"/>
      <c r="L59" s="260"/>
      <c r="M59" s="260"/>
      <c r="N59" s="261"/>
      <c r="O59" s="64"/>
      <c r="P59" s="163">
        <v>2.8</v>
      </c>
      <c r="Q59" s="198" t="s">
        <v>96</v>
      </c>
      <c r="R59" s="64"/>
      <c r="S59" s="64"/>
      <c r="T59" s="64"/>
      <c r="U59" s="64"/>
      <c r="V59" s="64"/>
      <c r="W59" s="90"/>
      <c r="X59" s="64"/>
      <c r="Y59" s="105"/>
      <c r="Z59" s="105"/>
      <c r="AB59" s="105"/>
    </row>
    <row r="60" spans="2:29" ht="96" customHeight="1" thickBot="1" x14ac:dyDescent="0.35">
      <c r="B60" s="192" t="s">
        <v>0</v>
      </c>
      <c r="C60" s="129" t="s">
        <v>104</v>
      </c>
      <c r="D60" s="129" t="s">
        <v>14</v>
      </c>
      <c r="E60" s="129" t="s">
        <v>8</v>
      </c>
      <c r="F60" s="129" t="s">
        <v>15</v>
      </c>
      <c r="G60" s="129" t="s">
        <v>2</v>
      </c>
      <c r="H60" s="129" t="s">
        <v>16</v>
      </c>
      <c r="I60" s="129" t="s">
        <v>31</v>
      </c>
      <c r="J60" s="129" t="s">
        <v>23</v>
      </c>
      <c r="K60" s="129" t="s">
        <v>21</v>
      </c>
      <c r="L60" s="129" t="s">
        <v>3</v>
      </c>
      <c r="M60" s="129" t="s">
        <v>9</v>
      </c>
      <c r="N60" s="129" t="s">
        <v>18</v>
      </c>
      <c r="O60" s="129" t="s">
        <v>17</v>
      </c>
      <c r="P60" s="129" t="s">
        <v>4</v>
      </c>
      <c r="Q60" s="129" t="s">
        <v>91</v>
      </c>
      <c r="R60" s="129" t="s">
        <v>91</v>
      </c>
      <c r="S60" s="129" t="s">
        <v>5</v>
      </c>
      <c r="T60" s="129" t="s">
        <v>6</v>
      </c>
      <c r="U60" s="129" t="s">
        <v>5</v>
      </c>
      <c r="V60" s="129" t="s">
        <v>7</v>
      </c>
      <c r="W60" s="130" t="s">
        <v>19</v>
      </c>
      <c r="X60" s="157" t="s">
        <v>109</v>
      </c>
      <c r="Y60" s="105"/>
      <c r="Z60" s="105"/>
      <c r="AA60" s="76"/>
      <c r="AB60" s="105"/>
    </row>
    <row r="61" spans="2:29" ht="15.75" customHeight="1" x14ac:dyDescent="0.3">
      <c r="B61" s="199"/>
      <c r="C61" s="197"/>
      <c r="D61" s="132" t="s">
        <v>10</v>
      </c>
      <c r="E61" s="132" t="s">
        <v>1</v>
      </c>
      <c r="F61" s="132" t="s">
        <v>10</v>
      </c>
      <c r="G61" s="132" t="s">
        <v>11</v>
      </c>
      <c r="H61" s="132" t="s">
        <v>95</v>
      </c>
      <c r="I61" s="189" t="s">
        <v>24</v>
      </c>
      <c r="J61" s="132" t="s">
        <v>25</v>
      </c>
      <c r="K61" s="190" t="s">
        <v>22</v>
      </c>
      <c r="L61" s="132" t="s">
        <v>95</v>
      </c>
      <c r="M61" s="132" t="s">
        <v>95</v>
      </c>
      <c r="N61" s="132" t="s">
        <v>12</v>
      </c>
      <c r="O61" s="132" t="s">
        <v>12</v>
      </c>
      <c r="P61" s="132" t="s">
        <v>93</v>
      </c>
      <c r="Q61" s="132" t="s">
        <v>95</v>
      </c>
      <c r="R61" s="132" t="s">
        <v>93</v>
      </c>
      <c r="S61" s="132" t="s">
        <v>93</v>
      </c>
      <c r="T61" s="132" t="s">
        <v>93</v>
      </c>
      <c r="U61" s="132" t="s">
        <v>94</v>
      </c>
      <c r="V61" s="132" t="s">
        <v>13</v>
      </c>
      <c r="W61" s="191" t="s">
        <v>20</v>
      </c>
      <c r="X61" s="191" t="s">
        <v>110</v>
      </c>
      <c r="Z61" s="105"/>
      <c r="AB61" s="105"/>
    </row>
    <row r="62" spans="2:29" ht="20.25" hidden="1" customHeight="1" x14ac:dyDescent="0.3">
      <c r="B62" s="14" t="s">
        <v>46</v>
      </c>
      <c r="C62" s="146" t="s">
        <v>45</v>
      </c>
      <c r="D62" s="3">
        <f>D63</f>
        <v>0</v>
      </c>
      <c r="E62" s="17">
        <f>E63</f>
        <v>100</v>
      </c>
      <c r="F62" s="25">
        <f t="shared" ref="F62:F71" si="18">(D62*E62)/100</f>
        <v>0</v>
      </c>
      <c r="G62" s="17">
        <f>G63</f>
        <v>0</v>
      </c>
      <c r="H62" s="4">
        <v>0</v>
      </c>
      <c r="I62" s="89" t="s">
        <v>44</v>
      </c>
      <c r="J62" s="17">
        <f t="shared" ref="J62:J71" si="19">IF(I62="TEE - Passagem Direta",1.8,IF(I62="União ou Redução",1.8,IF(I62="Conector Macho",1.6,IF(I62="Conector Fêmea",1.6,IF(I62="Conector Fêmea Giratório",1.6,IF(I62="Cotovelo",2.4,IF(I62="TEE - Passagem Angular",2.2,IF(I62="Cotovelo Macho",2.2,IF(I62="Cotovelo Fêmea",2.2,IF(I62="TEE - Entrada Central",3.2,IF(I62="F",3)))))))))))</f>
        <v>2.2000000000000002</v>
      </c>
      <c r="K62" s="126">
        <f t="shared" ref="K62:K71" si="20">IF(V62&gt;0,0.316*((O62*V62)/(1000*0.0000157))^-0.25,50)</f>
        <v>50</v>
      </c>
      <c r="L62" s="127">
        <f t="shared" ref="L62:L71" si="21">J62*O62/(1000*K62)</f>
        <v>5.2800000000000004E-4</v>
      </c>
      <c r="M62" s="17">
        <f t="shared" ref="M62:M71" si="22">SUM(H62+L62)</f>
        <v>5.2800000000000004E-4</v>
      </c>
      <c r="N62" s="2">
        <f>N63</f>
        <v>16</v>
      </c>
      <c r="O62" s="22" t="str">
        <f t="shared" ref="O62:O71" si="23">IF(N62=16,"12",IF(N62=20,"16",IF(N62=26,"20",IF(N62=32,"26"))))</f>
        <v>12</v>
      </c>
      <c r="P62" s="17">
        <f>P63</f>
        <v>2.8</v>
      </c>
      <c r="Q62" s="5">
        <v>0</v>
      </c>
      <c r="R62" s="17">
        <f t="shared" ref="R62" si="24">Q62/2</f>
        <v>0</v>
      </c>
      <c r="S62" s="128">
        <f>2273*1.8*M62*G62^1.82/O62^4.82</f>
        <v>0</v>
      </c>
      <c r="T62" s="17">
        <f>IFERROR(((P62-S62)+R62),"-")</f>
        <v>2.8</v>
      </c>
      <c r="U62" s="17">
        <f t="shared" ref="U62" si="25">(S62 - R62)/M62</f>
        <v>0</v>
      </c>
      <c r="V62" s="17">
        <f>354*G62/O62^2</f>
        <v>0</v>
      </c>
      <c r="W62" s="19" t="str">
        <f t="shared" ref="W62:W71" si="26">IF(V62&gt;20,"Recalcular Diâmetro",IF(V62&lt;20,"Velocidade OK"))</f>
        <v>Velocidade OK</v>
      </c>
      <c r="X62" s="194"/>
    </row>
    <row r="63" spans="2:29" x14ac:dyDescent="0.3">
      <c r="B63" s="14" t="s">
        <v>46</v>
      </c>
      <c r="C63" s="146" t="s">
        <v>105</v>
      </c>
      <c r="D63" s="3">
        <v>0</v>
      </c>
      <c r="E63" s="17">
        <v>100</v>
      </c>
      <c r="F63" s="25">
        <f t="shared" si="18"/>
        <v>0</v>
      </c>
      <c r="G63" s="17">
        <f>(F63/24000)</f>
        <v>0</v>
      </c>
      <c r="H63" s="4">
        <v>0</v>
      </c>
      <c r="I63" s="93"/>
      <c r="J63" s="17" t="b">
        <f t="shared" si="19"/>
        <v>0</v>
      </c>
      <c r="K63" s="24">
        <f t="shared" si="20"/>
        <v>50</v>
      </c>
      <c r="L63" s="17">
        <f t="shared" si="21"/>
        <v>0</v>
      </c>
      <c r="M63" s="17">
        <f t="shared" si="22"/>
        <v>0</v>
      </c>
      <c r="N63" s="2">
        <v>16</v>
      </c>
      <c r="O63" s="22" t="str">
        <f t="shared" si="23"/>
        <v>12</v>
      </c>
      <c r="P63" s="17">
        <f>P59</f>
        <v>2.8</v>
      </c>
      <c r="Q63" s="5">
        <v>0</v>
      </c>
      <c r="R63" s="17">
        <f>1.318*10^-2*Q63*(1.8-1)</f>
        <v>0</v>
      </c>
      <c r="S63" s="128">
        <f>2273*1.8*M63*G63^1.82/O63^4.82+S62-R63</f>
        <v>0</v>
      </c>
      <c r="T63" s="17">
        <f>IFERROR(((P63-S63)),"-")</f>
        <v>2.8</v>
      </c>
      <c r="U63" s="17" t="str">
        <f>IFERROR(((S63 - R63)/M63),"-")</f>
        <v>-</v>
      </c>
      <c r="V63" s="17">
        <f>354*G63/O63^2</f>
        <v>0</v>
      </c>
      <c r="W63" s="150" t="str">
        <f t="shared" si="26"/>
        <v>Velocidade OK</v>
      </c>
      <c r="X63" s="195" t="str">
        <f t="shared" ref="X63:X71" si="27">IF(C63&lt;1000,T63,"-")</f>
        <v>-</v>
      </c>
    </row>
    <row r="64" spans="2:29" x14ac:dyDescent="0.3">
      <c r="B64" s="14" t="s">
        <v>105</v>
      </c>
      <c r="C64" s="146" t="s">
        <v>107</v>
      </c>
      <c r="D64" s="3">
        <v>0</v>
      </c>
      <c r="E64" s="17">
        <v>100</v>
      </c>
      <c r="F64" s="25">
        <f t="shared" si="18"/>
        <v>0</v>
      </c>
      <c r="G64" s="17">
        <f t="shared" ref="G64:G71" si="28">(F64/24000)</f>
        <v>0</v>
      </c>
      <c r="H64" s="4">
        <v>0</v>
      </c>
      <c r="I64" s="93"/>
      <c r="J64" s="17" t="b">
        <f t="shared" si="19"/>
        <v>0</v>
      </c>
      <c r="K64" s="24">
        <f t="shared" si="20"/>
        <v>50</v>
      </c>
      <c r="L64" s="17">
        <f t="shared" si="21"/>
        <v>0</v>
      </c>
      <c r="M64" s="17">
        <f t="shared" si="22"/>
        <v>0</v>
      </c>
      <c r="N64" s="2">
        <v>16</v>
      </c>
      <c r="O64" s="22" t="str">
        <f t="shared" si="23"/>
        <v>12</v>
      </c>
      <c r="P64" s="17">
        <f>IFERROR(VLOOKUP(B64,$C$63:$W$71,18,FALSE),"-")</f>
        <v>2.8</v>
      </c>
      <c r="Q64" s="5">
        <v>0</v>
      </c>
      <c r="R64" s="17">
        <f t="shared" ref="R64:R71" si="29">1.318*10^-2*Q64*(1.8-1)</f>
        <v>0</v>
      </c>
      <c r="S64" s="128">
        <f t="shared" ref="S64:S71" si="30">2273*1.8*M64*G64^1.82/O64^4.82-R64</f>
        <v>0</v>
      </c>
      <c r="T64" s="17">
        <f>IFERROR(((P64-S64)),"-")</f>
        <v>2.8</v>
      </c>
      <c r="U64" s="17" t="str">
        <f t="shared" ref="U64:U71" si="31">IFERROR(((S64 - R64)/M64),"-")</f>
        <v>-</v>
      </c>
      <c r="V64" s="17">
        <f t="shared" ref="V64:V70" si="32">354*G64/O64^2</f>
        <v>0</v>
      </c>
      <c r="W64" s="150" t="str">
        <f t="shared" si="26"/>
        <v>Velocidade OK</v>
      </c>
      <c r="X64" s="195" t="str">
        <f t="shared" si="27"/>
        <v>-</v>
      </c>
    </row>
    <row r="65" spans="2:31" x14ac:dyDescent="0.3">
      <c r="B65" s="14" t="s">
        <v>107</v>
      </c>
      <c r="C65" s="146" t="s">
        <v>108</v>
      </c>
      <c r="D65" s="3">
        <v>0</v>
      </c>
      <c r="E65" s="17">
        <v>100</v>
      </c>
      <c r="F65" s="25">
        <f t="shared" si="18"/>
        <v>0</v>
      </c>
      <c r="G65" s="17">
        <f t="shared" si="28"/>
        <v>0</v>
      </c>
      <c r="H65" s="4">
        <v>0</v>
      </c>
      <c r="I65" s="93"/>
      <c r="J65" s="17" t="b">
        <f t="shared" si="19"/>
        <v>0</v>
      </c>
      <c r="K65" s="24">
        <f t="shared" si="20"/>
        <v>50</v>
      </c>
      <c r="L65" s="17">
        <f t="shared" si="21"/>
        <v>0</v>
      </c>
      <c r="M65" s="17">
        <f t="shared" si="22"/>
        <v>0</v>
      </c>
      <c r="N65" s="2">
        <v>16</v>
      </c>
      <c r="O65" s="22" t="str">
        <f t="shared" si="23"/>
        <v>12</v>
      </c>
      <c r="P65" s="17">
        <f t="shared" ref="P65:P71" si="33">IFERROR(VLOOKUP(B65,$C$63:$W$71,18,FALSE),"-")</f>
        <v>2.8</v>
      </c>
      <c r="Q65" s="5">
        <v>0</v>
      </c>
      <c r="R65" s="17">
        <f t="shared" si="29"/>
        <v>0</v>
      </c>
      <c r="S65" s="128">
        <f>2273*1.8*M65*G65^1.82/O65^4.82-R65</f>
        <v>0</v>
      </c>
      <c r="T65" s="17">
        <f t="shared" ref="T65:T71" si="34">IFERROR(((P65-S65)),"-")</f>
        <v>2.8</v>
      </c>
      <c r="U65" s="17" t="str">
        <f t="shared" si="31"/>
        <v>-</v>
      </c>
      <c r="V65" s="17">
        <f t="shared" si="32"/>
        <v>0</v>
      </c>
      <c r="W65" s="150" t="str">
        <f t="shared" si="26"/>
        <v>Velocidade OK</v>
      </c>
      <c r="X65" s="195" t="str">
        <f t="shared" si="27"/>
        <v>-</v>
      </c>
    </row>
    <row r="66" spans="2:31" x14ac:dyDescent="0.3">
      <c r="B66" s="14" t="s">
        <v>108</v>
      </c>
      <c r="C66" s="146" t="s">
        <v>112</v>
      </c>
      <c r="D66" s="3">
        <v>0</v>
      </c>
      <c r="E66" s="17">
        <v>100</v>
      </c>
      <c r="F66" s="25">
        <f t="shared" si="18"/>
        <v>0</v>
      </c>
      <c r="G66" s="17">
        <f t="shared" si="28"/>
        <v>0</v>
      </c>
      <c r="H66" s="4">
        <v>0</v>
      </c>
      <c r="I66" s="93"/>
      <c r="J66" s="17" t="b">
        <f t="shared" si="19"/>
        <v>0</v>
      </c>
      <c r="K66" s="24">
        <f t="shared" si="20"/>
        <v>50</v>
      </c>
      <c r="L66" s="17">
        <f t="shared" si="21"/>
        <v>0</v>
      </c>
      <c r="M66" s="17">
        <f t="shared" si="22"/>
        <v>0</v>
      </c>
      <c r="N66" s="2">
        <v>16</v>
      </c>
      <c r="O66" s="22" t="str">
        <f t="shared" si="23"/>
        <v>12</v>
      </c>
      <c r="P66" s="17">
        <f t="shared" si="33"/>
        <v>2.8</v>
      </c>
      <c r="Q66" s="5">
        <v>0</v>
      </c>
      <c r="R66" s="17">
        <f t="shared" si="29"/>
        <v>0</v>
      </c>
      <c r="S66" s="128">
        <f t="shared" si="30"/>
        <v>0</v>
      </c>
      <c r="T66" s="17">
        <f t="shared" si="34"/>
        <v>2.8</v>
      </c>
      <c r="U66" s="17" t="str">
        <f t="shared" si="31"/>
        <v>-</v>
      </c>
      <c r="V66" s="17">
        <f t="shared" si="32"/>
        <v>0</v>
      </c>
      <c r="W66" s="150" t="str">
        <f t="shared" si="26"/>
        <v>Velocidade OK</v>
      </c>
      <c r="X66" s="195" t="str">
        <f t="shared" si="27"/>
        <v>-</v>
      </c>
    </row>
    <row r="67" spans="2:31" x14ac:dyDescent="0.3">
      <c r="B67" s="14" t="s">
        <v>112</v>
      </c>
      <c r="C67" s="146" t="s">
        <v>111</v>
      </c>
      <c r="D67" s="3">
        <v>0</v>
      </c>
      <c r="E67" s="17">
        <v>100</v>
      </c>
      <c r="F67" s="25">
        <f t="shared" si="18"/>
        <v>0</v>
      </c>
      <c r="G67" s="17">
        <f t="shared" si="28"/>
        <v>0</v>
      </c>
      <c r="H67" s="4">
        <v>0</v>
      </c>
      <c r="I67" s="93"/>
      <c r="J67" s="17" t="b">
        <f t="shared" si="19"/>
        <v>0</v>
      </c>
      <c r="K67" s="24">
        <f t="shared" si="20"/>
        <v>50</v>
      </c>
      <c r="L67" s="17">
        <f t="shared" si="21"/>
        <v>0</v>
      </c>
      <c r="M67" s="17">
        <f t="shared" si="22"/>
        <v>0</v>
      </c>
      <c r="N67" s="2">
        <v>16</v>
      </c>
      <c r="O67" s="22" t="str">
        <f t="shared" si="23"/>
        <v>12</v>
      </c>
      <c r="P67" s="17">
        <f t="shared" si="33"/>
        <v>2.8</v>
      </c>
      <c r="Q67" s="5">
        <v>0</v>
      </c>
      <c r="R67" s="17">
        <f t="shared" si="29"/>
        <v>0</v>
      </c>
      <c r="S67" s="128">
        <f t="shared" si="30"/>
        <v>0</v>
      </c>
      <c r="T67" s="17">
        <f t="shared" si="34"/>
        <v>2.8</v>
      </c>
      <c r="U67" s="17" t="str">
        <f t="shared" si="31"/>
        <v>-</v>
      </c>
      <c r="V67" s="17">
        <f t="shared" si="32"/>
        <v>0</v>
      </c>
      <c r="W67" s="150" t="str">
        <f t="shared" si="26"/>
        <v>Velocidade OK</v>
      </c>
      <c r="X67" s="195" t="str">
        <f t="shared" si="27"/>
        <v>-</v>
      </c>
    </row>
    <row r="68" spans="2:31" x14ac:dyDescent="0.3">
      <c r="B68" s="14" t="s">
        <v>111</v>
      </c>
      <c r="C68" s="146" t="s">
        <v>113</v>
      </c>
      <c r="D68" s="3">
        <v>0</v>
      </c>
      <c r="E68" s="17">
        <v>100</v>
      </c>
      <c r="F68" s="25">
        <f t="shared" si="18"/>
        <v>0</v>
      </c>
      <c r="G68" s="17">
        <f t="shared" si="28"/>
        <v>0</v>
      </c>
      <c r="H68" s="4">
        <v>0</v>
      </c>
      <c r="I68" s="93"/>
      <c r="J68" s="17" t="b">
        <f t="shared" si="19"/>
        <v>0</v>
      </c>
      <c r="K68" s="24">
        <f t="shared" si="20"/>
        <v>50</v>
      </c>
      <c r="L68" s="17">
        <f t="shared" si="21"/>
        <v>0</v>
      </c>
      <c r="M68" s="17">
        <f t="shared" si="22"/>
        <v>0</v>
      </c>
      <c r="N68" s="2">
        <v>16</v>
      </c>
      <c r="O68" s="22" t="str">
        <f t="shared" si="23"/>
        <v>12</v>
      </c>
      <c r="P68" s="17">
        <f t="shared" si="33"/>
        <v>2.8</v>
      </c>
      <c r="Q68" s="5">
        <v>0</v>
      </c>
      <c r="R68" s="17">
        <f t="shared" si="29"/>
        <v>0</v>
      </c>
      <c r="S68" s="128">
        <f t="shared" si="30"/>
        <v>0</v>
      </c>
      <c r="T68" s="17">
        <f t="shared" si="34"/>
        <v>2.8</v>
      </c>
      <c r="U68" s="17" t="str">
        <f t="shared" si="31"/>
        <v>-</v>
      </c>
      <c r="V68" s="17">
        <f t="shared" si="32"/>
        <v>0</v>
      </c>
      <c r="W68" s="150" t="str">
        <f t="shared" si="26"/>
        <v>Velocidade OK</v>
      </c>
      <c r="X68" s="195" t="str">
        <f t="shared" si="27"/>
        <v>-</v>
      </c>
    </row>
    <row r="69" spans="2:31" x14ac:dyDescent="0.3">
      <c r="B69" s="14" t="s">
        <v>113</v>
      </c>
      <c r="C69" s="146" t="s">
        <v>114</v>
      </c>
      <c r="D69" s="3">
        <v>0</v>
      </c>
      <c r="E69" s="17">
        <v>100</v>
      </c>
      <c r="F69" s="25">
        <f t="shared" si="18"/>
        <v>0</v>
      </c>
      <c r="G69" s="17">
        <f t="shared" si="28"/>
        <v>0</v>
      </c>
      <c r="H69" s="4">
        <v>0</v>
      </c>
      <c r="I69" s="93"/>
      <c r="J69" s="17" t="b">
        <f t="shared" si="19"/>
        <v>0</v>
      </c>
      <c r="K69" s="24">
        <f t="shared" si="20"/>
        <v>50</v>
      </c>
      <c r="L69" s="17">
        <f t="shared" si="21"/>
        <v>0</v>
      </c>
      <c r="M69" s="17">
        <f t="shared" si="22"/>
        <v>0</v>
      </c>
      <c r="N69" s="2">
        <v>16</v>
      </c>
      <c r="O69" s="22" t="str">
        <f t="shared" si="23"/>
        <v>12</v>
      </c>
      <c r="P69" s="17">
        <f t="shared" si="33"/>
        <v>2.8</v>
      </c>
      <c r="Q69" s="5">
        <v>0</v>
      </c>
      <c r="R69" s="17">
        <f t="shared" si="29"/>
        <v>0</v>
      </c>
      <c r="S69" s="128">
        <f t="shared" si="30"/>
        <v>0</v>
      </c>
      <c r="T69" s="17">
        <f t="shared" si="34"/>
        <v>2.8</v>
      </c>
      <c r="U69" s="17" t="str">
        <f t="shared" si="31"/>
        <v>-</v>
      </c>
      <c r="V69" s="17">
        <f t="shared" si="32"/>
        <v>0</v>
      </c>
      <c r="W69" s="150" t="str">
        <f t="shared" si="26"/>
        <v>Velocidade OK</v>
      </c>
      <c r="X69" s="195" t="str">
        <f t="shared" si="27"/>
        <v>-</v>
      </c>
    </row>
    <row r="70" spans="2:31" x14ac:dyDescent="0.3">
      <c r="B70" s="14" t="s">
        <v>114</v>
      </c>
      <c r="C70" s="146" t="s">
        <v>115</v>
      </c>
      <c r="D70" s="3">
        <v>0</v>
      </c>
      <c r="E70" s="17">
        <v>100</v>
      </c>
      <c r="F70" s="25">
        <f t="shared" si="18"/>
        <v>0</v>
      </c>
      <c r="G70" s="17">
        <f t="shared" si="28"/>
        <v>0</v>
      </c>
      <c r="H70" s="4">
        <v>0</v>
      </c>
      <c r="I70" s="93"/>
      <c r="J70" s="17" t="b">
        <f t="shared" si="19"/>
        <v>0</v>
      </c>
      <c r="K70" s="24">
        <f t="shared" si="20"/>
        <v>50</v>
      </c>
      <c r="L70" s="17">
        <f t="shared" si="21"/>
        <v>0</v>
      </c>
      <c r="M70" s="17">
        <f t="shared" si="22"/>
        <v>0</v>
      </c>
      <c r="N70" s="2">
        <v>16</v>
      </c>
      <c r="O70" s="22" t="str">
        <f t="shared" si="23"/>
        <v>12</v>
      </c>
      <c r="P70" s="17">
        <f t="shared" si="33"/>
        <v>2.8</v>
      </c>
      <c r="Q70" s="5">
        <v>0</v>
      </c>
      <c r="R70" s="17">
        <f t="shared" si="29"/>
        <v>0</v>
      </c>
      <c r="S70" s="128">
        <f t="shared" si="30"/>
        <v>0</v>
      </c>
      <c r="T70" s="17">
        <f t="shared" si="34"/>
        <v>2.8</v>
      </c>
      <c r="U70" s="17" t="str">
        <f t="shared" si="31"/>
        <v>-</v>
      </c>
      <c r="V70" s="17">
        <f t="shared" si="32"/>
        <v>0</v>
      </c>
      <c r="W70" s="150" t="str">
        <f t="shared" si="26"/>
        <v>Velocidade OK</v>
      </c>
      <c r="X70" s="195" t="str">
        <f t="shared" si="27"/>
        <v>-</v>
      </c>
    </row>
    <row r="71" spans="2:31" ht="15" thickBot="1" x14ac:dyDescent="0.35">
      <c r="B71" s="176" t="s">
        <v>115</v>
      </c>
      <c r="C71" s="177" t="s">
        <v>116</v>
      </c>
      <c r="D71" s="65">
        <v>0</v>
      </c>
      <c r="E71" s="20">
        <v>100</v>
      </c>
      <c r="F71" s="26">
        <f t="shared" si="18"/>
        <v>0</v>
      </c>
      <c r="G71" s="20">
        <f t="shared" si="28"/>
        <v>0</v>
      </c>
      <c r="H71" s="66">
        <v>0</v>
      </c>
      <c r="I71" s="141"/>
      <c r="J71" s="20" t="b">
        <f t="shared" si="19"/>
        <v>0</v>
      </c>
      <c r="K71" s="67">
        <f t="shared" si="20"/>
        <v>50</v>
      </c>
      <c r="L71" s="20">
        <f t="shared" si="21"/>
        <v>0</v>
      </c>
      <c r="M71" s="20">
        <f t="shared" si="22"/>
        <v>0</v>
      </c>
      <c r="N71" s="2">
        <v>16</v>
      </c>
      <c r="O71" s="23" t="str">
        <f t="shared" si="23"/>
        <v>12</v>
      </c>
      <c r="P71" s="20">
        <f t="shared" si="33"/>
        <v>2.8</v>
      </c>
      <c r="Q71" s="5">
        <v>0</v>
      </c>
      <c r="R71" s="20">
        <f t="shared" si="29"/>
        <v>0</v>
      </c>
      <c r="S71" s="128">
        <f t="shared" si="30"/>
        <v>0</v>
      </c>
      <c r="T71" s="17">
        <f t="shared" si="34"/>
        <v>2.8</v>
      </c>
      <c r="U71" s="20" t="str">
        <f t="shared" si="31"/>
        <v>-</v>
      </c>
      <c r="V71" s="20">
        <f>354*G71/O71^2</f>
        <v>0</v>
      </c>
      <c r="W71" s="151" t="str">
        <f t="shared" si="26"/>
        <v>Velocidade OK</v>
      </c>
      <c r="X71" s="196" t="str">
        <f t="shared" si="27"/>
        <v>-</v>
      </c>
    </row>
    <row r="72" spans="2:31" ht="21.6" thickBot="1" x14ac:dyDescent="0.45">
      <c r="B72" s="7"/>
      <c r="C72" s="7"/>
      <c r="D72" s="53"/>
      <c r="E72" s="118"/>
      <c r="F72" s="118"/>
      <c r="G72" s="55"/>
      <c r="H72" s="118"/>
      <c r="I72" s="34"/>
      <c r="J72" s="41"/>
      <c r="K72" s="34"/>
      <c r="L72" s="34"/>
      <c r="M72" s="56"/>
      <c r="N72" s="56"/>
      <c r="O72" s="56"/>
      <c r="P72" s="57"/>
      <c r="Q72" s="58"/>
      <c r="R72" s="58"/>
      <c r="S72" s="58"/>
      <c r="T72" s="58"/>
      <c r="U72" s="58"/>
      <c r="V72" s="58"/>
      <c r="W72" s="58"/>
      <c r="X72" s="58"/>
    </row>
    <row r="73" spans="2:31" ht="15" customHeight="1" x14ac:dyDescent="0.3">
      <c r="B73" s="7"/>
      <c r="C73" s="7"/>
      <c r="D73" s="30" t="s">
        <v>30</v>
      </c>
      <c r="E73" s="31"/>
      <c r="F73" s="31"/>
      <c r="G73" s="31"/>
      <c r="H73" s="32"/>
      <c r="I73" s="34"/>
      <c r="J73" s="41"/>
      <c r="K73" s="34"/>
      <c r="L73" s="158" t="s">
        <v>156</v>
      </c>
      <c r="M73" s="265" t="s">
        <v>159</v>
      </c>
      <c r="N73" s="266"/>
      <c r="O73" s="266"/>
      <c r="P73" s="267"/>
      <c r="Q73" s="313">
        <f>P59-D74</f>
        <v>2.52</v>
      </c>
      <c r="R73" s="106"/>
      <c r="S73" s="106"/>
      <c r="T73" s="106"/>
      <c r="U73" s="106"/>
      <c r="V73" s="106"/>
      <c r="W73" s="106"/>
      <c r="X73" s="106"/>
    </row>
    <row r="74" spans="2:31" ht="21.6" thickBot="1" x14ac:dyDescent="0.45">
      <c r="B74" s="7"/>
      <c r="C74" s="7"/>
      <c r="D74" s="35">
        <f>P59*0.1</f>
        <v>0.27999999999999997</v>
      </c>
      <c r="E74" s="116"/>
      <c r="F74" s="116"/>
      <c r="G74" s="37" t="s">
        <v>93</v>
      </c>
      <c r="H74" s="117"/>
      <c r="I74" s="34"/>
      <c r="J74" s="41"/>
      <c r="K74" s="34"/>
      <c r="L74" s="158"/>
      <c r="M74" s="268"/>
      <c r="N74" s="269"/>
      <c r="O74" s="269"/>
      <c r="P74" s="270"/>
      <c r="Q74" s="314"/>
      <c r="R74" s="106"/>
      <c r="S74" s="106"/>
      <c r="T74" s="106"/>
      <c r="U74" s="106"/>
      <c r="V74" s="106"/>
      <c r="W74" s="106"/>
      <c r="X74" s="106"/>
    </row>
    <row r="75" spans="2:31" ht="21" x14ac:dyDescent="0.4">
      <c r="B75" s="7"/>
      <c r="C75" s="7"/>
      <c r="D75" s="53"/>
      <c r="E75" s="118"/>
      <c r="F75" s="118"/>
      <c r="G75" s="55"/>
      <c r="H75" s="118"/>
      <c r="I75" s="34"/>
      <c r="J75" s="41"/>
      <c r="K75" s="34"/>
      <c r="L75" s="34"/>
      <c r="M75" s="56"/>
      <c r="N75" s="56"/>
      <c r="O75" s="56"/>
      <c r="P75" s="57"/>
      <c r="Q75" s="58"/>
      <c r="R75" s="58"/>
      <c r="S75" s="58"/>
      <c r="T75" s="58"/>
      <c r="U75" s="58"/>
      <c r="V75" s="58"/>
      <c r="W75" s="58"/>
      <c r="X75" s="58"/>
    </row>
    <row r="76" spans="2:31" ht="21" customHeight="1" thickBot="1" x14ac:dyDescent="0.35"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10"/>
      <c r="N76" s="107"/>
      <c r="O76" s="107"/>
      <c r="P76" s="107"/>
      <c r="Q76" s="58"/>
      <c r="R76" s="58"/>
      <c r="S76" s="58"/>
      <c r="T76" s="58"/>
      <c r="U76" s="58"/>
      <c r="V76" s="58"/>
      <c r="W76" s="58"/>
      <c r="X76" s="58"/>
    </row>
    <row r="77" spans="2:31" ht="21" customHeight="1" thickBot="1" x14ac:dyDescent="0.35">
      <c r="B77" s="226" t="s">
        <v>26</v>
      </c>
      <c r="C77" s="227"/>
      <c r="D77" s="228"/>
      <c r="E77" s="228"/>
      <c r="F77" s="228"/>
      <c r="G77" s="228"/>
      <c r="H77" s="228"/>
      <c r="I77" s="228"/>
      <c r="J77" s="229"/>
      <c r="K77" s="107"/>
      <c r="L77" s="107"/>
      <c r="M77" s="111"/>
      <c r="N77" s="110"/>
      <c r="O77" s="107"/>
      <c r="P77" s="107"/>
      <c r="Q77" s="27"/>
      <c r="R77" s="27"/>
      <c r="S77" s="27"/>
      <c r="T77" s="27"/>
    </row>
    <row r="78" spans="2:31" ht="18.75" customHeight="1" thickBot="1" x14ac:dyDescent="0.35">
      <c r="B78" s="108"/>
      <c r="C78" s="11"/>
      <c r="D78" s="118"/>
      <c r="E78" s="118"/>
      <c r="F78" s="118"/>
      <c r="G78" s="118"/>
      <c r="H78" s="118"/>
      <c r="I78" s="118"/>
      <c r="J78" s="119"/>
      <c r="K78" s="107"/>
      <c r="L78" s="107"/>
      <c r="M78" s="111"/>
      <c r="N78" s="107"/>
      <c r="O78" s="107"/>
      <c r="P78" s="107"/>
      <c r="S78" s="105"/>
      <c r="T78" s="105"/>
    </row>
    <row r="79" spans="2:31" ht="15" customHeight="1" x14ac:dyDescent="0.3">
      <c r="B79" s="230" t="s">
        <v>27</v>
      </c>
      <c r="C79" s="231"/>
      <c r="D79" s="232"/>
      <c r="E79" s="232"/>
      <c r="F79" s="232"/>
      <c r="G79" s="232"/>
      <c r="H79" s="232"/>
      <c r="I79" s="232"/>
      <c r="J79" s="233"/>
      <c r="K79" s="107"/>
      <c r="L79" s="107"/>
      <c r="M79" s="111"/>
      <c r="N79" s="107"/>
      <c r="O79" s="107"/>
      <c r="P79" s="107"/>
    </row>
    <row r="80" spans="2:31" ht="15" customHeight="1" x14ac:dyDescent="0.3">
      <c r="B80" s="234"/>
      <c r="C80" s="235"/>
      <c r="D80" s="235"/>
      <c r="E80" s="235"/>
      <c r="F80" s="235"/>
      <c r="G80" s="235"/>
      <c r="H80" s="235"/>
      <c r="I80" s="235"/>
      <c r="J80" s="236"/>
      <c r="K80" s="107"/>
      <c r="L80" s="107"/>
      <c r="M80" s="111"/>
      <c r="N80" s="107"/>
      <c r="O80" s="107"/>
      <c r="P80" s="107"/>
      <c r="W80" s="106"/>
      <c r="X80" s="106"/>
      <c r="Y80" s="106"/>
      <c r="Z80" s="106"/>
      <c r="AA80" s="106"/>
      <c r="AB80" s="106"/>
      <c r="AC80" s="106"/>
      <c r="AD80" s="106"/>
      <c r="AE80" s="106"/>
    </row>
    <row r="81" spans="2:31" ht="15" customHeight="1" x14ac:dyDescent="0.3">
      <c r="B81" s="234"/>
      <c r="C81" s="235"/>
      <c r="D81" s="235"/>
      <c r="E81" s="235"/>
      <c r="F81" s="235"/>
      <c r="G81" s="235"/>
      <c r="H81" s="235"/>
      <c r="I81" s="235"/>
      <c r="J81" s="236"/>
      <c r="K81" s="107"/>
      <c r="L81" s="107"/>
      <c r="M81" s="111"/>
      <c r="N81" s="107"/>
      <c r="O81" s="107"/>
      <c r="P81" s="107"/>
      <c r="W81" s="106"/>
      <c r="X81" s="106"/>
      <c r="Y81" s="106"/>
      <c r="Z81" s="106"/>
      <c r="AA81" s="106"/>
      <c r="AB81" s="106"/>
      <c r="AC81" s="106"/>
      <c r="AD81" s="106"/>
      <c r="AE81" s="106"/>
    </row>
    <row r="82" spans="2:31" ht="15.75" customHeight="1" x14ac:dyDescent="0.3">
      <c r="B82" s="234"/>
      <c r="C82" s="235"/>
      <c r="D82" s="235"/>
      <c r="E82" s="235"/>
      <c r="F82" s="235"/>
      <c r="G82" s="235"/>
      <c r="H82" s="235"/>
      <c r="I82" s="235"/>
      <c r="J82" s="236"/>
      <c r="K82" s="107"/>
      <c r="L82" s="107"/>
      <c r="M82" s="111"/>
      <c r="N82" s="107"/>
      <c r="O82" s="107"/>
      <c r="P82" s="107"/>
      <c r="W82" s="106"/>
      <c r="X82" s="106"/>
      <c r="Y82" s="106"/>
      <c r="Z82" s="106"/>
      <c r="AA82" s="106"/>
      <c r="AB82" s="106"/>
      <c r="AC82" s="106"/>
      <c r="AD82" s="106"/>
      <c r="AE82" s="106"/>
    </row>
    <row r="83" spans="2:31" ht="15" customHeight="1" thickBot="1" x14ac:dyDescent="0.35">
      <c r="B83" s="237"/>
      <c r="C83" s="238"/>
      <c r="D83" s="238"/>
      <c r="E83" s="238"/>
      <c r="F83" s="238"/>
      <c r="G83" s="238"/>
      <c r="H83" s="238"/>
      <c r="I83" s="238"/>
      <c r="J83" s="239"/>
      <c r="K83" s="107"/>
      <c r="L83" s="107"/>
      <c r="M83" s="111"/>
      <c r="N83" s="107"/>
      <c r="O83" s="107"/>
      <c r="P83" s="107"/>
      <c r="W83" s="106"/>
      <c r="X83" s="106"/>
      <c r="Y83" s="106"/>
      <c r="Z83" s="106"/>
      <c r="AA83" s="106"/>
      <c r="AB83" s="106"/>
      <c r="AC83" s="106"/>
      <c r="AD83" s="106"/>
      <c r="AE83" s="106"/>
    </row>
    <row r="84" spans="2:31" ht="15" customHeight="1" thickBot="1" x14ac:dyDescent="0.35">
      <c r="B84" s="109"/>
      <c r="C84" s="147"/>
      <c r="D84" s="118"/>
      <c r="E84" s="118"/>
      <c r="F84" s="118"/>
      <c r="G84" s="118"/>
      <c r="H84" s="118"/>
      <c r="I84" s="118"/>
      <c r="J84" s="119"/>
      <c r="K84" s="107"/>
      <c r="L84" s="107"/>
      <c r="M84" s="111"/>
      <c r="N84" s="107"/>
      <c r="O84" s="107"/>
      <c r="P84" s="107"/>
      <c r="W84" s="106"/>
      <c r="X84" s="106"/>
      <c r="Y84" s="106"/>
      <c r="Z84" s="106"/>
      <c r="AA84" s="106"/>
      <c r="AB84" s="106"/>
      <c r="AC84" s="106"/>
      <c r="AD84" s="106"/>
      <c r="AE84" s="106"/>
    </row>
    <row r="85" spans="2:31" ht="15" customHeight="1" x14ac:dyDescent="0.3">
      <c r="B85" s="230" t="s">
        <v>98</v>
      </c>
      <c r="C85" s="231"/>
      <c r="D85" s="232"/>
      <c r="E85" s="232"/>
      <c r="F85" s="232"/>
      <c r="G85" s="232"/>
      <c r="H85" s="232"/>
      <c r="I85" s="232"/>
      <c r="J85" s="233"/>
      <c r="K85" s="107"/>
      <c r="L85" s="107"/>
      <c r="M85" s="111"/>
      <c r="N85" s="107"/>
      <c r="O85" s="107"/>
      <c r="P85" s="107"/>
      <c r="W85" s="106"/>
      <c r="X85" s="106"/>
      <c r="Y85" s="106"/>
      <c r="Z85" s="106"/>
      <c r="AA85" s="106"/>
      <c r="AB85" s="106"/>
      <c r="AC85" s="106"/>
      <c r="AD85" s="106"/>
      <c r="AE85" s="106"/>
    </row>
    <row r="86" spans="2:31" ht="15.75" customHeight="1" thickBot="1" x14ac:dyDescent="0.35">
      <c r="B86" s="237"/>
      <c r="C86" s="238"/>
      <c r="D86" s="238"/>
      <c r="E86" s="238"/>
      <c r="F86" s="238"/>
      <c r="G86" s="238"/>
      <c r="H86" s="238"/>
      <c r="I86" s="238"/>
      <c r="J86" s="239"/>
      <c r="K86" s="107"/>
      <c r="L86" s="107"/>
      <c r="M86" s="111"/>
      <c r="N86" s="107"/>
      <c r="O86" s="107"/>
      <c r="P86" s="107"/>
      <c r="W86" s="106"/>
      <c r="X86" s="106"/>
      <c r="Y86" s="106"/>
      <c r="Z86" s="106"/>
      <c r="AA86" s="106"/>
      <c r="AB86" s="106"/>
      <c r="AC86" s="106"/>
      <c r="AD86" s="106"/>
      <c r="AE86" s="106"/>
    </row>
    <row r="87" spans="2:31" ht="15" customHeight="1" thickBot="1" x14ac:dyDescent="0.35">
      <c r="B87" s="108"/>
      <c r="C87" s="11"/>
      <c r="D87" s="118"/>
      <c r="E87" s="118"/>
      <c r="F87" s="118"/>
      <c r="G87" s="118"/>
      <c r="H87" s="118"/>
      <c r="I87" s="118"/>
      <c r="J87" s="119"/>
      <c r="K87" s="107"/>
      <c r="L87" s="107"/>
      <c r="M87" s="111"/>
      <c r="N87" s="107"/>
      <c r="O87" s="107"/>
      <c r="P87" s="107"/>
      <c r="W87" s="106"/>
      <c r="X87" s="106"/>
      <c r="Y87" s="106"/>
      <c r="Z87" s="106"/>
      <c r="AA87" s="106"/>
      <c r="AB87" s="106"/>
      <c r="AC87" s="106"/>
      <c r="AD87" s="106"/>
      <c r="AE87" s="106"/>
    </row>
    <row r="88" spans="2:31" ht="15" customHeight="1" x14ac:dyDescent="0.3">
      <c r="B88" s="230" t="s">
        <v>28</v>
      </c>
      <c r="C88" s="231"/>
      <c r="D88" s="232"/>
      <c r="E88" s="232"/>
      <c r="F88" s="232"/>
      <c r="G88" s="232"/>
      <c r="H88" s="232"/>
      <c r="I88" s="232"/>
      <c r="J88" s="233"/>
      <c r="K88" s="107"/>
      <c r="L88" s="107"/>
      <c r="M88" s="111"/>
      <c r="N88" s="107"/>
      <c r="O88" s="107"/>
      <c r="P88" s="107"/>
      <c r="W88" s="106"/>
      <c r="X88" s="106"/>
      <c r="Y88" s="106"/>
      <c r="Z88" s="106"/>
      <c r="AA88" s="106"/>
      <c r="AB88" s="106"/>
      <c r="AC88" s="106"/>
      <c r="AD88" s="106"/>
      <c r="AE88" s="106"/>
    </row>
    <row r="89" spans="2:31" ht="15" customHeight="1" thickBot="1" x14ac:dyDescent="0.35">
      <c r="B89" s="237"/>
      <c r="C89" s="238"/>
      <c r="D89" s="238"/>
      <c r="E89" s="238"/>
      <c r="F89" s="238"/>
      <c r="G89" s="238"/>
      <c r="H89" s="238"/>
      <c r="I89" s="238"/>
      <c r="J89" s="239"/>
      <c r="K89" s="107"/>
      <c r="L89" s="107"/>
      <c r="M89" s="111"/>
      <c r="N89" s="107"/>
      <c r="O89" s="107"/>
      <c r="P89" s="107"/>
      <c r="W89" s="106"/>
      <c r="X89" s="106"/>
      <c r="Y89" s="106"/>
      <c r="Z89" s="106"/>
      <c r="AA89" s="106"/>
      <c r="AB89" s="106"/>
      <c r="AC89" s="106"/>
      <c r="AD89" s="106"/>
      <c r="AE89" s="106"/>
    </row>
    <row r="90" spans="2:31" ht="15.75" customHeight="1" thickBot="1" x14ac:dyDescent="0.35">
      <c r="B90" s="108"/>
      <c r="C90" s="11"/>
      <c r="D90" s="118"/>
      <c r="E90" s="118"/>
      <c r="F90" s="118"/>
      <c r="G90" s="118"/>
      <c r="H90" s="118"/>
      <c r="I90" s="118"/>
      <c r="J90" s="119"/>
      <c r="K90" s="107"/>
      <c r="L90" s="107"/>
      <c r="M90" s="111"/>
      <c r="N90" s="107"/>
      <c r="O90" s="107"/>
      <c r="P90" s="107"/>
      <c r="W90" s="106"/>
      <c r="X90" s="106"/>
      <c r="Y90" s="106"/>
      <c r="Z90" s="106"/>
      <c r="AA90" s="106"/>
      <c r="AB90" s="106"/>
      <c r="AC90" s="106"/>
      <c r="AD90" s="106"/>
      <c r="AE90" s="106"/>
    </row>
    <row r="91" spans="2:31" ht="15" customHeight="1" x14ac:dyDescent="0.3">
      <c r="B91" s="230" t="s">
        <v>29</v>
      </c>
      <c r="C91" s="231"/>
      <c r="D91" s="232"/>
      <c r="E91" s="232"/>
      <c r="F91" s="232"/>
      <c r="G91" s="232"/>
      <c r="H91" s="232"/>
      <c r="I91" s="232"/>
      <c r="J91" s="233"/>
      <c r="K91" s="107"/>
      <c r="L91" s="107"/>
      <c r="M91" s="111"/>
      <c r="N91" s="107"/>
      <c r="O91" s="107"/>
      <c r="P91" s="107"/>
      <c r="W91" s="106"/>
      <c r="X91" s="106"/>
      <c r="Y91" s="106"/>
      <c r="Z91" s="106"/>
      <c r="AA91" s="106"/>
      <c r="AB91" s="106"/>
      <c r="AC91" s="106"/>
      <c r="AD91" s="106"/>
      <c r="AE91" s="106"/>
    </row>
    <row r="92" spans="2:31" ht="15" customHeight="1" thickBot="1" x14ac:dyDescent="0.35">
      <c r="B92" s="237"/>
      <c r="C92" s="238"/>
      <c r="D92" s="238"/>
      <c r="E92" s="238"/>
      <c r="F92" s="238"/>
      <c r="G92" s="238"/>
      <c r="H92" s="238"/>
      <c r="I92" s="238"/>
      <c r="J92" s="239"/>
      <c r="K92" s="107"/>
      <c r="L92" s="107"/>
      <c r="M92" s="111"/>
      <c r="N92" s="107"/>
      <c r="O92" s="107"/>
      <c r="P92" s="107"/>
      <c r="W92" s="106"/>
      <c r="X92" s="106"/>
      <c r="Y92" s="106"/>
      <c r="Z92" s="106"/>
      <c r="AA92" s="106"/>
      <c r="AB92" s="106"/>
      <c r="AC92" s="106"/>
      <c r="AD92" s="106"/>
      <c r="AE92" s="106"/>
    </row>
    <row r="93" spans="2:31" ht="15" customHeight="1" thickBot="1" x14ac:dyDescent="0.35">
      <c r="B93" s="108"/>
      <c r="C93" s="11"/>
      <c r="D93" s="118"/>
      <c r="E93" s="118"/>
      <c r="F93" s="118"/>
      <c r="G93" s="118"/>
      <c r="H93" s="118"/>
      <c r="I93" s="118"/>
      <c r="J93" s="119"/>
      <c r="K93" s="107"/>
      <c r="L93" s="107"/>
      <c r="M93" s="111"/>
      <c r="N93" s="107"/>
      <c r="O93" s="107"/>
      <c r="P93" s="107"/>
      <c r="W93" s="106"/>
      <c r="X93" s="106"/>
      <c r="Y93" s="106"/>
      <c r="Z93" s="106"/>
      <c r="AA93" s="106"/>
      <c r="AB93" s="106"/>
      <c r="AC93" s="106"/>
      <c r="AD93" s="106"/>
      <c r="AE93" s="106"/>
    </row>
    <row r="94" spans="2:31" ht="15.75" customHeight="1" thickBot="1" x14ac:dyDescent="0.35">
      <c r="B94" s="271" t="s">
        <v>162</v>
      </c>
      <c r="C94" s="272"/>
      <c r="D94" s="228"/>
      <c r="E94" s="228"/>
      <c r="F94" s="228"/>
      <c r="G94" s="228"/>
      <c r="H94" s="228"/>
      <c r="I94" s="228"/>
      <c r="J94" s="229"/>
      <c r="K94" s="107"/>
      <c r="L94" s="107"/>
      <c r="M94" s="111"/>
      <c r="N94" s="107"/>
      <c r="O94" s="107"/>
      <c r="P94" s="107"/>
      <c r="W94" s="106"/>
      <c r="X94" s="106"/>
      <c r="Y94" s="106"/>
      <c r="Z94" s="106"/>
      <c r="AA94" s="106"/>
      <c r="AB94" s="106"/>
      <c r="AC94" s="106"/>
      <c r="AD94" s="106"/>
      <c r="AE94" s="106"/>
    </row>
    <row r="95" spans="2:31" ht="15" customHeight="1" thickBot="1" x14ac:dyDescent="0.35">
      <c r="B95" s="34"/>
      <c r="C95" s="34"/>
      <c r="D95" s="34"/>
      <c r="E95" s="34"/>
      <c r="F95" s="34"/>
      <c r="G95" s="34"/>
      <c r="H95" s="273" t="s">
        <v>47</v>
      </c>
      <c r="I95" s="228"/>
      <c r="J95" s="229"/>
      <c r="K95" s="107"/>
      <c r="L95" s="107"/>
      <c r="M95" s="111"/>
      <c r="N95" s="107"/>
      <c r="O95" s="107"/>
      <c r="P95" s="107"/>
      <c r="W95" s="106"/>
      <c r="X95" s="106"/>
      <c r="Y95" s="106"/>
      <c r="Z95" s="106"/>
      <c r="AA95" s="106"/>
      <c r="AB95" s="106"/>
      <c r="AC95" s="106"/>
      <c r="AD95" s="106"/>
      <c r="AE95" s="106"/>
    </row>
    <row r="96" spans="2:31" ht="15" customHeight="1" x14ac:dyDescent="0.3"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W96" s="106"/>
      <c r="X96" s="106"/>
      <c r="Y96" s="106"/>
      <c r="Z96" s="106"/>
      <c r="AA96" s="106"/>
      <c r="AB96" s="106"/>
      <c r="AC96" s="106"/>
      <c r="AD96" s="106"/>
      <c r="AE96" s="106"/>
    </row>
    <row r="97" spans="2:31" ht="15" customHeight="1" x14ac:dyDescent="0.3">
      <c r="B97" s="107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07"/>
      <c r="O97" s="107"/>
      <c r="P97" s="107"/>
      <c r="W97" s="106"/>
      <c r="X97" s="106"/>
      <c r="Y97" s="106"/>
      <c r="Z97" s="106"/>
      <c r="AA97" s="106"/>
      <c r="AB97" s="106"/>
      <c r="AC97" s="106"/>
      <c r="AD97" s="106"/>
      <c r="AE97" s="106"/>
    </row>
    <row r="98" spans="2:31" ht="15.75" customHeight="1" x14ac:dyDescent="0.3">
      <c r="B98" s="107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07"/>
      <c r="O98" s="107"/>
      <c r="P98" s="107"/>
      <c r="W98" s="106"/>
      <c r="X98" s="106"/>
      <c r="Y98" s="106"/>
      <c r="Z98" s="106"/>
      <c r="AA98" s="106"/>
      <c r="AB98" s="106"/>
      <c r="AC98" s="106"/>
      <c r="AD98" s="106"/>
      <c r="AE98" s="106"/>
    </row>
    <row r="99" spans="2:31" ht="15.75" customHeight="1" x14ac:dyDescent="0.3">
      <c r="B99" s="107"/>
      <c r="C99" s="166"/>
      <c r="D99" s="114" t="s">
        <v>60</v>
      </c>
      <c r="E99" s="114">
        <v>9000</v>
      </c>
      <c r="F99" s="115"/>
      <c r="G99" s="115"/>
      <c r="H99" s="115"/>
      <c r="I99" s="114">
        <v>9000</v>
      </c>
      <c r="J99" s="166"/>
      <c r="K99" s="166"/>
      <c r="L99" s="166"/>
      <c r="M99" s="166"/>
      <c r="N99" s="165"/>
      <c r="O99" s="165">
        <v>9000</v>
      </c>
      <c r="P99" s="107"/>
      <c r="W99" s="106"/>
      <c r="X99" s="106"/>
      <c r="Y99" s="106"/>
      <c r="Z99" s="106"/>
      <c r="AA99" s="106"/>
      <c r="AB99" s="106"/>
      <c r="AC99" s="106"/>
      <c r="AD99" s="106"/>
      <c r="AE99" s="106"/>
    </row>
    <row r="100" spans="2:31" ht="15.75" customHeight="1" x14ac:dyDescent="0.3">
      <c r="B100" s="107"/>
      <c r="C100" s="166"/>
      <c r="D100" s="114" t="s">
        <v>79</v>
      </c>
      <c r="E100" s="114">
        <v>12000</v>
      </c>
      <c r="F100" s="115"/>
      <c r="G100" s="115"/>
      <c r="H100" s="115"/>
      <c r="I100" s="114">
        <v>11500</v>
      </c>
      <c r="J100" s="166"/>
      <c r="K100" s="166"/>
      <c r="L100" s="166"/>
      <c r="M100" s="166"/>
      <c r="N100" s="165"/>
      <c r="O100" s="165">
        <v>11500</v>
      </c>
      <c r="P100" s="107"/>
      <c r="W100" s="106"/>
      <c r="X100" s="106"/>
      <c r="Y100" s="106"/>
      <c r="Z100" s="106"/>
      <c r="AA100" s="106"/>
      <c r="AB100" s="106"/>
      <c r="AC100" s="106"/>
      <c r="AD100" s="106"/>
      <c r="AE100" s="106"/>
    </row>
    <row r="101" spans="2:31" ht="15" customHeight="1" x14ac:dyDescent="0.3">
      <c r="B101" s="107"/>
      <c r="C101" s="166"/>
      <c r="D101" s="114" t="s">
        <v>61</v>
      </c>
      <c r="E101" s="114">
        <v>12000</v>
      </c>
      <c r="F101" s="115"/>
      <c r="G101" s="115"/>
      <c r="H101" s="115"/>
      <c r="I101" s="114">
        <v>12000</v>
      </c>
      <c r="J101" s="166"/>
      <c r="K101" s="166"/>
      <c r="L101" s="166"/>
      <c r="M101" s="166"/>
      <c r="N101" s="165"/>
      <c r="O101" s="165">
        <v>12000</v>
      </c>
      <c r="P101" s="107"/>
      <c r="W101" s="106"/>
      <c r="X101" s="106"/>
      <c r="Y101" s="106"/>
      <c r="Z101" s="106"/>
      <c r="AA101" s="106"/>
      <c r="AB101" s="106"/>
      <c r="AC101" s="106"/>
      <c r="AD101" s="106"/>
      <c r="AE101" s="106"/>
    </row>
    <row r="102" spans="2:31" ht="15" customHeight="1" x14ac:dyDescent="0.35">
      <c r="B102" s="107"/>
      <c r="C102" s="166"/>
      <c r="D102" s="114" t="s">
        <v>62</v>
      </c>
      <c r="E102" s="114">
        <v>15000</v>
      </c>
      <c r="F102" s="115"/>
      <c r="G102" s="115"/>
      <c r="H102" s="115"/>
      <c r="I102" s="114">
        <v>15000</v>
      </c>
      <c r="J102" s="166"/>
      <c r="K102" s="166"/>
      <c r="L102" s="166"/>
      <c r="M102" s="166"/>
      <c r="N102" s="165"/>
      <c r="O102" s="165">
        <v>15000</v>
      </c>
      <c r="P102" s="107"/>
      <c r="S102" s="28"/>
      <c r="T102" s="29"/>
      <c r="U102" s="29"/>
      <c r="V102" s="29"/>
      <c r="W102" s="29"/>
      <c r="X102" s="29"/>
      <c r="Y102" s="29"/>
      <c r="Z102" s="29"/>
      <c r="AA102" s="29"/>
      <c r="AB102" s="29"/>
    </row>
    <row r="103" spans="2:31" ht="15.75" customHeight="1" x14ac:dyDescent="0.3">
      <c r="B103" s="107"/>
      <c r="C103" s="166"/>
      <c r="D103" s="114" t="s">
        <v>63</v>
      </c>
      <c r="E103" s="114">
        <v>18000</v>
      </c>
      <c r="F103" s="115"/>
      <c r="G103" s="115"/>
      <c r="H103" s="115"/>
      <c r="I103" s="114">
        <v>18000</v>
      </c>
      <c r="J103" s="166"/>
      <c r="K103" s="166"/>
      <c r="L103" s="166"/>
      <c r="M103" s="166"/>
      <c r="N103" s="165"/>
      <c r="O103" s="165">
        <v>18000</v>
      </c>
      <c r="P103" s="107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spans="2:31" ht="15.75" customHeight="1" x14ac:dyDescent="0.3">
      <c r="B104" s="107"/>
      <c r="C104" s="166"/>
      <c r="D104" s="114" t="s">
        <v>80</v>
      </c>
      <c r="E104" s="114">
        <v>18000</v>
      </c>
      <c r="F104" s="115"/>
      <c r="G104" s="115"/>
      <c r="H104" s="115"/>
      <c r="I104" s="114">
        <v>19000</v>
      </c>
      <c r="J104" s="166"/>
      <c r="K104" s="166"/>
      <c r="L104" s="166"/>
      <c r="M104" s="166"/>
      <c r="N104" s="165"/>
      <c r="O104" s="165">
        <v>19000</v>
      </c>
      <c r="P104" s="107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spans="2:31" ht="15" customHeight="1" x14ac:dyDescent="0.3">
      <c r="B105" s="107"/>
      <c r="C105" s="166"/>
      <c r="D105" s="114" t="s">
        <v>64</v>
      </c>
      <c r="E105" s="114">
        <v>22500</v>
      </c>
      <c r="F105" s="115"/>
      <c r="G105" s="115"/>
      <c r="H105" s="115"/>
      <c r="I105" s="114">
        <v>22000</v>
      </c>
      <c r="J105" s="166"/>
      <c r="K105" s="166"/>
      <c r="L105" s="166"/>
      <c r="M105" s="166"/>
      <c r="N105" s="165"/>
      <c r="O105" s="165">
        <v>22000</v>
      </c>
      <c r="P105" s="107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spans="2:31" ht="15" customHeight="1" x14ac:dyDescent="0.3">
      <c r="B106" s="107"/>
      <c r="C106" s="166"/>
      <c r="D106" s="114" t="s">
        <v>81</v>
      </c>
      <c r="E106" s="114">
        <v>22500</v>
      </c>
      <c r="F106" s="115"/>
      <c r="G106" s="115"/>
      <c r="H106" s="115"/>
      <c r="I106" s="114">
        <v>22500</v>
      </c>
      <c r="J106" s="166"/>
      <c r="K106" s="166"/>
      <c r="L106" s="166"/>
      <c r="M106" s="166"/>
      <c r="N106" s="165"/>
      <c r="O106" s="165">
        <v>22500</v>
      </c>
      <c r="P106" s="107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spans="2:31" ht="15" customHeight="1" x14ac:dyDescent="0.3">
      <c r="B107" s="107"/>
      <c r="C107" s="166"/>
      <c r="D107" s="114" t="s">
        <v>65</v>
      </c>
      <c r="E107" s="114">
        <v>27000</v>
      </c>
      <c r="F107" s="115"/>
      <c r="G107" s="115"/>
      <c r="H107" s="115"/>
      <c r="I107" s="114">
        <v>26500</v>
      </c>
      <c r="J107" s="166"/>
      <c r="K107" s="166"/>
      <c r="L107" s="166"/>
      <c r="M107" s="166"/>
      <c r="N107" s="165"/>
      <c r="O107" s="165">
        <v>26500</v>
      </c>
      <c r="P107" s="107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spans="2:31" ht="15" customHeight="1" x14ac:dyDescent="0.3">
      <c r="B108" s="107"/>
      <c r="C108" s="166"/>
      <c r="D108" s="114" t="s">
        <v>66</v>
      </c>
      <c r="E108" s="114">
        <v>30000</v>
      </c>
      <c r="F108" s="115"/>
      <c r="G108" s="115"/>
      <c r="H108" s="115"/>
      <c r="I108" s="114">
        <v>30000</v>
      </c>
      <c r="J108" s="166"/>
      <c r="K108" s="166"/>
      <c r="L108" s="166"/>
      <c r="M108" s="166"/>
      <c r="N108" s="165"/>
      <c r="O108" s="165">
        <v>30000</v>
      </c>
      <c r="P108" s="107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2:31" ht="15" customHeight="1" x14ac:dyDescent="0.3">
      <c r="B109" s="107"/>
      <c r="C109" s="166"/>
      <c r="D109" s="114" t="s">
        <v>82</v>
      </c>
      <c r="E109" s="114">
        <v>37500</v>
      </c>
      <c r="F109" s="115"/>
      <c r="G109" s="115"/>
      <c r="H109" s="115"/>
      <c r="I109" s="114">
        <v>34000</v>
      </c>
      <c r="J109" s="166"/>
      <c r="K109" s="166"/>
      <c r="L109" s="166"/>
      <c r="M109" s="166"/>
      <c r="N109" s="165"/>
      <c r="O109" s="165">
        <v>34000</v>
      </c>
      <c r="P109" s="107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2:31" ht="15" customHeight="1" x14ac:dyDescent="0.3">
      <c r="B110" s="107"/>
      <c r="C110" s="166"/>
      <c r="D110" s="114" t="s">
        <v>67</v>
      </c>
      <c r="E110" s="114">
        <v>37500</v>
      </c>
      <c r="F110" s="115"/>
      <c r="G110" s="115"/>
      <c r="H110" s="115"/>
      <c r="I110" s="114">
        <v>36000</v>
      </c>
      <c r="J110" s="166"/>
      <c r="K110" s="166"/>
      <c r="L110" s="166"/>
      <c r="M110" s="166"/>
      <c r="N110" s="165"/>
      <c r="O110" s="165">
        <v>36000</v>
      </c>
      <c r="P110" s="107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2:31" ht="15" customHeight="1" x14ac:dyDescent="0.3">
      <c r="B111" s="107"/>
      <c r="C111" s="166"/>
      <c r="D111" s="114" t="s">
        <v>68</v>
      </c>
      <c r="E111" s="114">
        <v>45000</v>
      </c>
      <c r="F111" s="115"/>
      <c r="G111" s="115"/>
      <c r="H111" s="115"/>
      <c r="I111" s="114">
        <v>45500</v>
      </c>
      <c r="J111" s="166"/>
      <c r="K111" s="166"/>
      <c r="L111" s="166"/>
      <c r="M111" s="166"/>
      <c r="N111" s="165"/>
      <c r="O111" s="165">
        <v>45500</v>
      </c>
      <c r="P111" s="107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spans="2:31" ht="15" customHeight="1" x14ac:dyDescent="0.3">
      <c r="B112" s="107"/>
      <c r="C112" s="166"/>
      <c r="D112" s="114" t="s">
        <v>69</v>
      </c>
      <c r="E112" s="114">
        <v>48000</v>
      </c>
      <c r="F112" s="115"/>
      <c r="G112" s="115"/>
      <c r="H112" s="115"/>
      <c r="I112" s="114">
        <v>47000</v>
      </c>
      <c r="J112" s="166"/>
      <c r="K112" s="166"/>
      <c r="L112" s="166"/>
      <c r="M112" s="166"/>
      <c r="N112" s="165"/>
      <c r="O112" s="165">
        <v>47000</v>
      </c>
      <c r="P112" s="107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2:28" ht="15" customHeight="1" x14ac:dyDescent="0.3">
      <c r="B113" s="107"/>
      <c r="C113" s="166"/>
      <c r="D113" s="114" t="s">
        <v>70</v>
      </c>
      <c r="E113" s="114">
        <v>51000</v>
      </c>
      <c r="F113" s="115"/>
      <c r="G113" s="115"/>
      <c r="H113" s="115"/>
      <c r="I113" s="114">
        <v>49000</v>
      </c>
      <c r="J113" s="166"/>
      <c r="K113" s="166"/>
      <c r="L113" s="166"/>
      <c r="M113" s="166"/>
      <c r="N113" s="165"/>
      <c r="O113" s="165">
        <v>49000</v>
      </c>
      <c r="P113" s="107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2:28" ht="15" customHeight="1" x14ac:dyDescent="0.3">
      <c r="B114" s="107"/>
      <c r="C114" s="166"/>
      <c r="D114" s="114" t="s">
        <v>86</v>
      </c>
      <c r="E114" s="114">
        <v>51000</v>
      </c>
      <c r="F114" s="115"/>
      <c r="G114" s="115"/>
      <c r="H114" s="115"/>
      <c r="I114" s="114">
        <v>51000</v>
      </c>
      <c r="J114" s="166"/>
      <c r="K114" s="166"/>
      <c r="L114" s="166"/>
      <c r="M114" s="166"/>
      <c r="N114" s="165"/>
      <c r="O114" s="165">
        <v>51000</v>
      </c>
      <c r="P114" s="107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2:28" ht="15" customHeight="1" x14ac:dyDescent="0.3">
      <c r="B115" s="107"/>
      <c r="C115" s="166"/>
      <c r="D115" s="114" t="s">
        <v>83</v>
      </c>
      <c r="E115" s="114">
        <v>51000</v>
      </c>
      <c r="F115" s="115"/>
      <c r="G115" s="115"/>
      <c r="H115" s="115"/>
      <c r="I115" s="114">
        <v>53000</v>
      </c>
      <c r="J115" s="166"/>
      <c r="K115" s="166"/>
      <c r="L115" s="166"/>
      <c r="M115" s="166"/>
      <c r="N115" s="165"/>
      <c r="O115" s="165">
        <v>53000</v>
      </c>
      <c r="P115" s="107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2:28" ht="15" customHeight="1" x14ac:dyDescent="0.3">
      <c r="B116" s="107"/>
      <c r="C116" s="166"/>
      <c r="D116" s="114" t="s">
        <v>84</v>
      </c>
      <c r="E116" s="114">
        <v>51000</v>
      </c>
      <c r="F116" s="115"/>
      <c r="G116" s="115"/>
      <c r="H116" s="115"/>
      <c r="I116" s="114">
        <v>54000</v>
      </c>
      <c r="J116" s="166"/>
      <c r="K116" s="166"/>
      <c r="L116" s="166"/>
      <c r="M116" s="166"/>
      <c r="N116" s="165"/>
      <c r="O116" s="165">
        <v>54000</v>
      </c>
      <c r="P116" s="107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spans="2:28" ht="15" customHeight="1" x14ac:dyDescent="0.3">
      <c r="B117" s="107"/>
      <c r="C117" s="166"/>
      <c r="D117" s="114" t="s">
        <v>85</v>
      </c>
      <c r="E117" s="114">
        <v>51000</v>
      </c>
      <c r="F117" s="115"/>
      <c r="G117" s="115"/>
      <c r="H117" s="115"/>
      <c r="I117" s="114">
        <v>58000</v>
      </c>
      <c r="J117" s="166"/>
      <c r="K117" s="166"/>
      <c r="L117" s="166"/>
      <c r="M117" s="166"/>
      <c r="N117" s="165"/>
      <c r="O117" s="165">
        <v>58000</v>
      </c>
      <c r="P117" s="107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  <row r="118" spans="2:28" ht="15" customHeight="1" x14ac:dyDescent="0.3">
      <c r="C118" s="34"/>
      <c r="D118" s="114" t="s">
        <v>71</v>
      </c>
      <c r="E118" s="114">
        <v>3800</v>
      </c>
      <c r="F118" s="114"/>
      <c r="G118" s="114"/>
      <c r="H118" s="114"/>
      <c r="I118" s="114">
        <v>4360</v>
      </c>
      <c r="J118" s="34"/>
      <c r="K118" s="34"/>
      <c r="L118" s="34"/>
      <c r="M118" s="34"/>
      <c r="N118" s="165"/>
      <c r="O118" s="165">
        <v>4360</v>
      </c>
      <c r="S118" s="11"/>
      <c r="T118" s="11"/>
      <c r="U118" s="11"/>
      <c r="V118" s="11"/>
      <c r="W118" s="11"/>
      <c r="X118" s="11"/>
      <c r="Y118" s="11"/>
      <c r="Z118" s="11"/>
      <c r="AA118" s="11"/>
      <c r="AB118" s="11"/>
    </row>
    <row r="119" spans="2:28" ht="15" customHeight="1" x14ac:dyDescent="0.3">
      <c r="C119" s="34"/>
      <c r="D119" s="114" t="s">
        <v>87</v>
      </c>
      <c r="E119" s="114">
        <v>3800</v>
      </c>
      <c r="F119" s="114"/>
      <c r="G119" s="114"/>
      <c r="H119" s="114"/>
      <c r="I119" s="114">
        <v>6003</v>
      </c>
      <c r="J119" s="34"/>
      <c r="K119" s="34"/>
      <c r="L119" s="34"/>
      <c r="M119" s="34"/>
      <c r="N119" s="165"/>
      <c r="O119" s="165">
        <v>6003</v>
      </c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spans="2:28" ht="15" customHeight="1" x14ac:dyDescent="0.3">
      <c r="C120" s="34"/>
      <c r="D120" s="114" t="s">
        <v>88</v>
      </c>
      <c r="E120" s="114">
        <v>8200</v>
      </c>
      <c r="F120" s="114"/>
      <c r="G120" s="114"/>
      <c r="H120" s="114"/>
      <c r="I120" s="114">
        <v>7078</v>
      </c>
      <c r="J120" s="34"/>
      <c r="K120" s="34"/>
      <c r="L120" s="34"/>
      <c r="M120" s="34"/>
      <c r="N120" s="165"/>
      <c r="O120" s="165">
        <v>7078</v>
      </c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spans="2:28" ht="15" customHeight="1" x14ac:dyDescent="0.3">
      <c r="C121" s="34"/>
      <c r="D121" s="114" t="s">
        <v>72</v>
      </c>
      <c r="E121" s="114">
        <v>8200</v>
      </c>
      <c r="F121" s="114"/>
      <c r="G121" s="114"/>
      <c r="H121" s="114"/>
      <c r="I121" s="114">
        <v>8153</v>
      </c>
      <c r="J121" s="34"/>
      <c r="K121" s="34"/>
      <c r="L121" s="34"/>
      <c r="M121" s="34"/>
      <c r="N121" s="165"/>
      <c r="O121" s="165">
        <v>8153</v>
      </c>
      <c r="S121" s="11"/>
      <c r="T121" s="11"/>
      <c r="U121" s="11"/>
      <c r="V121" s="11"/>
      <c r="W121" s="11"/>
      <c r="X121" s="11"/>
      <c r="Y121" s="11"/>
      <c r="Z121" s="11"/>
      <c r="AA121" s="11"/>
      <c r="AB121" s="11"/>
    </row>
    <row r="122" spans="2:28" ht="15" customHeight="1" x14ac:dyDescent="0.3">
      <c r="C122" s="34"/>
      <c r="D122" s="114" t="s">
        <v>73</v>
      </c>
      <c r="E122" s="114">
        <v>10500</v>
      </c>
      <c r="F122" s="114"/>
      <c r="G122" s="114"/>
      <c r="H122" s="114"/>
      <c r="I122" s="114">
        <v>10501</v>
      </c>
      <c r="J122" s="34"/>
      <c r="K122" s="34"/>
      <c r="L122" s="34"/>
      <c r="M122" s="34"/>
      <c r="N122" s="165"/>
      <c r="O122" s="165">
        <v>10501</v>
      </c>
      <c r="S122" s="11"/>
      <c r="T122" s="11"/>
      <c r="U122" s="11"/>
      <c r="V122" s="11"/>
      <c r="W122" s="11"/>
      <c r="X122" s="11"/>
      <c r="Y122" s="11"/>
      <c r="Z122" s="11"/>
      <c r="AA122" s="11"/>
      <c r="AB122" s="11"/>
    </row>
    <row r="123" spans="2:28" ht="15" customHeight="1" x14ac:dyDescent="0.3">
      <c r="C123" s="34"/>
      <c r="D123" s="114" t="s">
        <v>74</v>
      </c>
      <c r="E123" s="114">
        <v>13500</v>
      </c>
      <c r="F123" s="114"/>
      <c r="G123" s="114"/>
      <c r="H123" s="114"/>
      <c r="I123" s="114">
        <v>13500</v>
      </c>
      <c r="J123" s="34"/>
      <c r="K123" s="34"/>
      <c r="L123" s="34"/>
      <c r="M123" s="34"/>
      <c r="N123" s="165"/>
      <c r="O123" s="165">
        <v>13500</v>
      </c>
      <c r="S123" s="11"/>
      <c r="T123" s="11"/>
      <c r="U123" s="11"/>
      <c r="V123" s="11"/>
      <c r="W123" s="11"/>
      <c r="X123" s="11"/>
      <c r="Y123" s="11"/>
      <c r="Z123" s="11"/>
      <c r="AA123" s="11"/>
      <c r="AB123" s="11"/>
    </row>
    <row r="124" spans="2:28" ht="15" customHeight="1" x14ac:dyDescent="0.3">
      <c r="C124" s="34"/>
      <c r="D124" s="114" t="s">
        <v>75</v>
      </c>
      <c r="E124" s="114">
        <v>15000</v>
      </c>
      <c r="F124" s="114"/>
      <c r="G124" s="114"/>
      <c r="H124" s="114"/>
      <c r="I124" s="114">
        <v>14998</v>
      </c>
      <c r="J124" s="34"/>
      <c r="K124" s="34"/>
      <c r="L124" s="34"/>
      <c r="M124" s="34"/>
      <c r="N124" s="165"/>
      <c r="O124" s="165">
        <v>14998</v>
      </c>
      <c r="S124" s="11"/>
      <c r="T124" s="11"/>
      <c r="U124" s="11"/>
      <c r="V124" s="11"/>
      <c r="W124" s="11"/>
      <c r="X124" s="11"/>
      <c r="Y124" s="11"/>
      <c r="Z124" s="11"/>
      <c r="AA124" s="11"/>
      <c r="AB124" s="11"/>
    </row>
    <row r="125" spans="2:28" ht="15" customHeight="1" x14ac:dyDescent="0.3">
      <c r="C125" s="34"/>
      <c r="D125" s="114" t="s">
        <v>48</v>
      </c>
      <c r="E125" s="114">
        <v>3000</v>
      </c>
      <c r="F125" s="114"/>
      <c r="G125" s="114"/>
      <c r="H125" s="114"/>
      <c r="I125" s="114">
        <v>3000</v>
      </c>
      <c r="J125" s="34"/>
      <c r="K125" s="34"/>
      <c r="L125" s="34"/>
      <c r="M125" s="34"/>
      <c r="N125" s="165"/>
      <c r="O125" s="165">
        <v>3000</v>
      </c>
      <c r="S125" s="11"/>
      <c r="T125" s="11"/>
      <c r="U125" s="11"/>
      <c r="V125" s="11"/>
      <c r="W125" s="11"/>
      <c r="X125" s="11"/>
      <c r="Y125" s="11"/>
      <c r="Z125" s="11"/>
      <c r="AA125" s="11"/>
      <c r="AB125" s="11"/>
    </row>
    <row r="126" spans="2:28" ht="15" customHeight="1" x14ac:dyDescent="0.3">
      <c r="C126" s="34"/>
      <c r="D126" s="114" t="s">
        <v>153</v>
      </c>
      <c r="E126" s="114"/>
      <c r="F126" s="114"/>
      <c r="G126" s="114"/>
      <c r="H126" s="114"/>
      <c r="I126" s="114">
        <v>2494</v>
      </c>
      <c r="J126" s="34"/>
      <c r="K126" s="34"/>
      <c r="L126" s="34"/>
      <c r="M126" s="34"/>
      <c r="N126" s="165"/>
      <c r="O126" s="165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</row>
    <row r="127" spans="2:28" ht="15" customHeight="1" x14ac:dyDescent="0.3">
      <c r="C127" s="34"/>
      <c r="D127" s="114" t="s">
        <v>154</v>
      </c>
      <c r="E127" s="114"/>
      <c r="F127" s="114"/>
      <c r="G127" s="114"/>
      <c r="H127" s="114"/>
      <c r="I127" s="114">
        <v>3096</v>
      </c>
      <c r="J127" s="34"/>
      <c r="K127" s="34"/>
      <c r="L127" s="34"/>
      <c r="M127" s="34"/>
      <c r="N127" s="165"/>
      <c r="O127" s="165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</row>
    <row r="128" spans="2:28" ht="15" customHeight="1" x14ac:dyDescent="0.3">
      <c r="C128" s="34"/>
      <c r="D128" s="114" t="s">
        <v>49</v>
      </c>
      <c r="E128" s="114">
        <v>6300</v>
      </c>
      <c r="F128" s="114"/>
      <c r="G128" s="114"/>
      <c r="H128" s="114"/>
      <c r="I128" s="114">
        <v>6966</v>
      </c>
      <c r="J128" s="34"/>
      <c r="K128" s="34"/>
      <c r="L128" s="34"/>
      <c r="M128" s="34"/>
      <c r="N128" s="165"/>
      <c r="O128" s="165">
        <v>2494</v>
      </c>
      <c r="S128" s="11"/>
      <c r="T128" s="11"/>
      <c r="U128" s="11"/>
      <c r="V128" s="11"/>
      <c r="W128" s="11"/>
      <c r="X128" s="11"/>
      <c r="Y128" s="11"/>
      <c r="Z128" s="11"/>
      <c r="AA128" s="11"/>
      <c r="AB128" s="11"/>
    </row>
    <row r="129" spans="3:28" ht="15" customHeight="1" x14ac:dyDescent="0.3">
      <c r="C129" s="34"/>
      <c r="D129" s="114" t="s">
        <v>50</v>
      </c>
      <c r="E129" s="114">
        <v>9300</v>
      </c>
      <c r="F129" s="114"/>
      <c r="G129" s="114"/>
      <c r="H129" s="114"/>
      <c r="I129" s="114">
        <v>9288</v>
      </c>
      <c r="J129" s="34"/>
      <c r="K129" s="34"/>
      <c r="L129" s="34"/>
      <c r="M129" s="34"/>
      <c r="N129" s="165"/>
      <c r="O129" s="165">
        <v>3096</v>
      </c>
      <c r="S129" s="11"/>
      <c r="T129" s="11"/>
      <c r="U129" s="11"/>
      <c r="V129" s="11"/>
      <c r="W129" s="11"/>
      <c r="X129" s="11"/>
      <c r="Y129" s="11"/>
      <c r="Z129" s="11"/>
      <c r="AA129" s="11"/>
      <c r="AB129" s="11"/>
    </row>
    <row r="130" spans="3:28" ht="15" customHeight="1" x14ac:dyDescent="0.3">
      <c r="C130" s="34"/>
      <c r="D130" s="114" t="s">
        <v>51</v>
      </c>
      <c r="E130" s="114">
        <v>7900</v>
      </c>
      <c r="F130" s="114"/>
      <c r="G130" s="114"/>
      <c r="H130" s="114"/>
      <c r="I130" s="114">
        <v>9976</v>
      </c>
      <c r="J130" s="34"/>
      <c r="K130" s="34"/>
      <c r="L130" s="34"/>
      <c r="M130" s="34"/>
      <c r="N130" s="165"/>
      <c r="O130" s="165">
        <v>6966</v>
      </c>
      <c r="S130" s="11"/>
      <c r="T130" s="11"/>
      <c r="U130" s="11"/>
      <c r="V130" s="11"/>
      <c r="W130" s="11"/>
      <c r="X130" s="11"/>
      <c r="Y130" s="11"/>
      <c r="Z130" s="11"/>
      <c r="AA130" s="11"/>
      <c r="AB130" s="11"/>
    </row>
    <row r="131" spans="3:28" ht="15" customHeight="1" x14ac:dyDescent="0.3">
      <c r="C131" s="34"/>
      <c r="D131" s="114" t="s">
        <v>54</v>
      </c>
      <c r="E131" s="114">
        <v>9590</v>
      </c>
      <c r="F131" s="114"/>
      <c r="G131" s="114"/>
      <c r="H131" s="114"/>
      <c r="I131" s="114">
        <v>13390</v>
      </c>
      <c r="J131" s="34"/>
      <c r="K131" s="34"/>
      <c r="L131" s="34"/>
      <c r="M131" s="34"/>
      <c r="N131" s="165"/>
      <c r="O131" s="165">
        <v>9288</v>
      </c>
      <c r="S131" s="11"/>
      <c r="T131" s="11"/>
      <c r="U131" s="11"/>
      <c r="V131" s="11"/>
      <c r="W131" s="11"/>
      <c r="X131" s="11"/>
      <c r="Y131" s="11"/>
      <c r="Z131" s="11"/>
      <c r="AA131" s="11"/>
      <c r="AB131" s="11"/>
    </row>
    <row r="132" spans="3:28" ht="15" customHeight="1" x14ac:dyDescent="0.3">
      <c r="C132" s="34"/>
      <c r="D132" s="114" t="s">
        <v>52</v>
      </c>
      <c r="E132" s="114">
        <v>9500</v>
      </c>
      <c r="F132" s="114"/>
      <c r="G132" s="114"/>
      <c r="H132" s="114"/>
      <c r="I132" s="114">
        <v>9976</v>
      </c>
      <c r="J132" s="34"/>
      <c r="K132" s="34"/>
      <c r="L132" s="34"/>
      <c r="M132" s="34"/>
      <c r="N132" s="165"/>
      <c r="O132" s="165">
        <v>9976</v>
      </c>
      <c r="S132" s="11"/>
      <c r="T132" s="11"/>
      <c r="U132" s="11"/>
      <c r="V132" s="11"/>
      <c r="W132" s="11"/>
      <c r="X132" s="11"/>
      <c r="Y132" s="11"/>
      <c r="Z132" s="11"/>
      <c r="AA132" s="11"/>
      <c r="AB132" s="11"/>
    </row>
    <row r="133" spans="3:28" ht="15" customHeight="1" x14ac:dyDescent="0.3">
      <c r="C133" s="34"/>
      <c r="D133" s="114" t="s">
        <v>53</v>
      </c>
      <c r="E133" s="114">
        <v>11000</v>
      </c>
      <c r="F133" s="114"/>
      <c r="G133" s="114"/>
      <c r="H133" s="114"/>
      <c r="I133" s="114">
        <v>13390</v>
      </c>
      <c r="J133" s="34"/>
      <c r="K133" s="34"/>
      <c r="L133" s="34"/>
      <c r="M133" s="34"/>
      <c r="N133" s="165"/>
      <c r="O133" s="165">
        <v>13390</v>
      </c>
      <c r="S133" s="11"/>
      <c r="T133" s="11"/>
      <c r="U133" s="11"/>
      <c r="V133" s="11"/>
      <c r="W133" s="11"/>
      <c r="X133" s="11"/>
      <c r="Y133" s="11"/>
      <c r="Z133" s="11"/>
      <c r="AA133" s="11"/>
      <c r="AB133" s="11"/>
    </row>
    <row r="134" spans="3:28" ht="15" customHeight="1" x14ac:dyDescent="0.3">
      <c r="C134" s="34"/>
      <c r="D134" s="114" t="s">
        <v>59</v>
      </c>
      <c r="E134" s="114">
        <v>3000</v>
      </c>
      <c r="F134" s="114"/>
      <c r="G134" s="114"/>
      <c r="H134" s="114"/>
      <c r="I134" s="114">
        <v>3010</v>
      </c>
      <c r="J134" s="34"/>
      <c r="K134" s="34"/>
      <c r="L134" s="34"/>
      <c r="M134" s="34"/>
      <c r="N134" s="165"/>
      <c r="O134" s="165">
        <v>9976</v>
      </c>
      <c r="S134" s="11"/>
      <c r="T134" s="11"/>
      <c r="U134" s="11"/>
      <c r="V134" s="11"/>
      <c r="W134" s="11"/>
      <c r="X134" s="11"/>
      <c r="Y134" s="11"/>
      <c r="Z134" s="11"/>
      <c r="AA134" s="11"/>
      <c r="AB134" s="11"/>
    </row>
    <row r="135" spans="3:28" ht="15" customHeight="1" x14ac:dyDescent="0.3">
      <c r="C135" s="34"/>
      <c r="D135" s="114" t="s">
        <v>55</v>
      </c>
      <c r="E135" s="114">
        <v>5500</v>
      </c>
      <c r="F135" s="114"/>
      <c r="G135" s="114"/>
      <c r="H135" s="114"/>
      <c r="I135" s="114">
        <v>5500</v>
      </c>
      <c r="J135" s="34"/>
      <c r="K135" s="34"/>
      <c r="L135" s="34"/>
      <c r="M135" s="34"/>
      <c r="N135" s="165"/>
      <c r="O135" s="165">
        <v>13390</v>
      </c>
      <c r="S135" s="11"/>
      <c r="T135" s="11"/>
      <c r="U135" s="11"/>
      <c r="V135" s="11"/>
      <c r="W135" s="11"/>
      <c r="X135" s="11"/>
      <c r="Y135" s="11"/>
      <c r="Z135" s="11"/>
      <c r="AA135" s="11"/>
      <c r="AB135" s="11"/>
    </row>
    <row r="136" spans="3:28" ht="15" customHeight="1" x14ac:dyDescent="0.3">
      <c r="C136" s="34"/>
      <c r="D136" s="114" t="s">
        <v>56</v>
      </c>
      <c r="E136" s="114">
        <v>500</v>
      </c>
      <c r="F136" s="114"/>
      <c r="G136" s="114"/>
      <c r="H136" s="114"/>
      <c r="I136" s="114">
        <v>500</v>
      </c>
      <c r="J136" s="34"/>
      <c r="K136" s="34"/>
      <c r="L136" s="34"/>
      <c r="M136" s="34"/>
      <c r="N136" s="165"/>
      <c r="O136" s="165">
        <v>3010</v>
      </c>
      <c r="S136" s="11"/>
      <c r="T136" s="11"/>
      <c r="U136" s="11"/>
      <c r="V136" s="11"/>
      <c r="W136" s="11"/>
      <c r="X136" s="11"/>
      <c r="Y136" s="11"/>
      <c r="Z136" s="11"/>
      <c r="AA136" s="11"/>
      <c r="AB136" s="11"/>
    </row>
    <row r="137" spans="3:28" ht="15.75" customHeight="1" x14ac:dyDescent="0.3">
      <c r="C137" s="34"/>
      <c r="D137" s="114" t="s">
        <v>57</v>
      </c>
      <c r="E137" s="114">
        <v>13000</v>
      </c>
      <c r="F137" s="114"/>
      <c r="G137" s="114"/>
      <c r="H137" s="114"/>
      <c r="I137" s="114">
        <v>13000</v>
      </c>
      <c r="J137" s="34"/>
      <c r="K137" s="34"/>
      <c r="L137" s="34"/>
      <c r="M137" s="34"/>
      <c r="N137" s="165"/>
      <c r="O137" s="165">
        <v>5500</v>
      </c>
      <c r="S137" s="11"/>
      <c r="T137" s="11"/>
      <c r="U137" s="11"/>
      <c r="V137" s="11"/>
      <c r="W137" s="11"/>
      <c r="X137" s="11"/>
      <c r="Y137" s="11"/>
      <c r="Z137" s="11"/>
      <c r="AA137" s="11"/>
      <c r="AB137" s="11"/>
    </row>
    <row r="138" spans="3:28" x14ac:dyDescent="0.3">
      <c r="C138" s="34"/>
      <c r="D138" s="114" t="s">
        <v>58</v>
      </c>
      <c r="E138" s="114">
        <v>6000</v>
      </c>
      <c r="F138" s="114"/>
      <c r="G138" s="114"/>
      <c r="H138" s="114"/>
      <c r="I138" s="114">
        <v>6020</v>
      </c>
      <c r="J138" s="34"/>
      <c r="K138" s="34"/>
      <c r="L138" s="34"/>
      <c r="M138" s="34"/>
      <c r="N138" s="165"/>
      <c r="O138" s="165">
        <v>500</v>
      </c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</row>
    <row r="139" spans="3:28" x14ac:dyDescent="0.3">
      <c r="C139" s="34"/>
      <c r="D139" s="207"/>
      <c r="E139" s="207"/>
      <c r="F139" s="207"/>
      <c r="G139" s="207"/>
      <c r="H139" s="207"/>
      <c r="I139" s="207"/>
      <c r="J139" s="34"/>
      <c r="K139" s="34"/>
      <c r="L139" s="34"/>
      <c r="M139" s="34"/>
      <c r="O139" s="165">
        <v>13000</v>
      </c>
    </row>
    <row r="140" spans="3:28" x14ac:dyDescent="0.3"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O140" s="165">
        <v>6020</v>
      </c>
    </row>
    <row r="141" spans="3:28" x14ac:dyDescent="0.3"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</row>
    <row r="142" spans="3:28" x14ac:dyDescent="0.3"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</row>
    <row r="143" spans="3:28" x14ac:dyDescent="0.3"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</row>
    <row r="144" spans="3:28" x14ac:dyDescent="0.3"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</row>
    <row r="145" spans="3:13" x14ac:dyDescent="0.3"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</row>
    <row r="146" spans="3:13" x14ac:dyDescent="0.3"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</row>
    <row r="147" spans="3:13" x14ac:dyDescent="0.3"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</row>
    <row r="148" spans="3:13" x14ac:dyDescent="0.3"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</row>
    <row r="149" spans="3:13" x14ac:dyDescent="0.3"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</row>
    <row r="150" spans="3:13" x14ac:dyDescent="0.3"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</row>
    <row r="151" spans="3:13" x14ac:dyDescent="0.3"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</row>
    <row r="152" spans="3:13" x14ac:dyDescent="0.3"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</row>
    <row r="153" spans="3:13" x14ac:dyDescent="0.3"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</row>
    <row r="154" spans="3:13" x14ac:dyDescent="0.3"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</row>
  </sheetData>
  <sheetProtection password="EBAF" sheet="1" objects="1" scenarios="1"/>
  <dataConsolidate function="min"/>
  <mergeCells count="45">
    <mergeCell ref="H95:J95"/>
    <mergeCell ref="B58:W58"/>
    <mergeCell ref="I59:N59"/>
    <mergeCell ref="Q73:Q74"/>
    <mergeCell ref="B77:J77"/>
    <mergeCell ref="B79:J83"/>
    <mergeCell ref="B85:J86"/>
    <mergeCell ref="B88:J89"/>
    <mergeCell ref="B91:J92"/>
    <mergeCell ref="B94:J94"/>
    <mergeCell ref="M73:P74"/>
    <mergeCell ref="Q55:Q56"/>
    <mergeCell ref="Z56:AA58"/>
    <mergeCell ref="AB56:AC58"/>
    <mergeCell ref="M55:P56"/>
    <mergeCell ref="Z39:AC41"/>
    <mergeCell ref="Z42:AC42"/>
    <mergeCell ref="Z44:AC46"/>
    <mergeCell ref="Z47:AC47"/>
    <mergeCell ref="Z52:AC52"/>
    <mergeCell ref="Z31:AA33"/>
    <mergeCell ref="AB31:AC33"/>
    <mergeCell ref="AD31:AE33"/>
    <mergeCell ref="AF31:AG33"/>
    <mergeCell ref="Z35:AA37"/>
    <mergeCell ref="AB35:AC37"/>
    <mergeCell ref="Z19:AA21"/>
    <mergeCell ref="AB19:AC21"/>
    <mergeCell ref="Z23:AA25"/>
    <mergeCell ref="AB23:AC25"/>
    <mergeCell ref="Z27:AA29"/>
    <mergeCell ref="AB27:AC29"/>
    <mergeCell ref="B8:W8"/>
    <mergeCell ref="Z8:AB8"/>
    <mergeCell ref="Z10:AA13"/>
    <mergeCell ref="AB10:AC13"/>
    <mergeCell ref="Z15:AA17"/>
    <mergeCell ref="AB15:AC17"/>
    <mergeCell ref="B5:W5"/>
    <mergeCell ref="Z5:AC5"/>
    <mergeCell ref="B6:W6"/>
    <mergeCell ref="Z6:AC6"/>
    <mergeCell ref="Z7:AC7"/>
    <mergeCell ref="P7:V7"/>
    <mergeCell ref="B7:N7"/>
  </mergeCells>
  <conditionalFormatting sqref="S12:S53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63:S71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1:X11">
    <cfRule type="expression" dxfId="5" priority="7" stopIfTrue="1">
      <formula>V11&gt;20</formula>
    </cfRule>
  </conditionalFormatting>
  <conditionalFormatting sqref="W62:X62">
    <cfRule type="expression" dxfId="4" priority="6" stopIfTrue="1">
      <formula>V62&gt;20</formula>
    </cfRule>
  </conditionalFormatting>
  <conditionalFormatting sqref="S6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12:X52">
    <cfRule type="expression" dxfId="3" priority="20">
      <formula>X12&lt;$Q$55</formula>
    </cfRule>
  </conditionalFormatting>
  <conditionalFormatting sqref="X63:X71">
    <cfRule type="expression" dxfId="2" priority="26">
      <formula>X63&lt;$Q$73</formula>
    </cfRule>
  </conditionalFormatting>
  <conditionalFormatting sqref="W11:W52">
    <cfRule type="expression" dxfId="1" priority="2">
      <formula>V11&gt;20</formula>
    </cfRule>
  </conditionalFormatting>
  <conditionalFormatting sqref="W63:W71">
    <cfRule type="expression" dxfId="0" priority="1">
      <formula>V63&gt;20</formula>
    </cfRule>
  </conditionalFormatting>
  <dataValidations count="9">
    <dataValidation type="decimal" operator="lessThan" showInputMessage="1" showErrorMessage="1" errorTitle="VALOR NÃO PERMITIDO" error="VALOR DA PERDA DE CARGA ULTRAPASSOU O LIMITE MÁXIMO ESTABELECIDO POR NORMA" promptTitle="VALOR NÃO PERMITIDO" sqref="Q73" xr:uid="{00000000-0002-0000-0200-000000000000}">
      <formula1>0.1*P25</formula1>
    </dataValidation>
    <dataValidation type="decimal" operator="lessThan" showInputMessage="1" showErrorMessage="1" errorTitle="VALOR NÃO PERMITIDO" error="VALOR DA PERDA DE CARGA ULTRAPASSOU O LIMITE MÁXIMO ESTABELECIDO POR NORMA" promptTitle="VALOR NÃO PERMITIDO" sqref="Q55" xr:uid="{00000000-0002-0000-0200-000001000000}">
      <formula1>0.1*P12</formula1>
    </dataValidation>
    <dataValidation type="list" allowBlank="1" showInputMessage="1" showErrorMessage="1" sqref="Z7:AC7" xr:uid="{00000000-0002-0000-0200-000002000000}">
      <formula1>$D$99:$D$138</formula1>
    </dataValidation>
    <dataValidation type="list" allowBlank="1" showInputMessage="1" showErrorMessage="1" sqref="I11:I52 I62:I71" xr:uid="{00000000-0002-0000-0200-000003000000}">
      <formula1>"________________,Conector Macho, Conector Fêmea, Conector Fêmea Giratório, Cotovelo, Cotovelo Fêmea,Cotovelo Macho, União ou Redução, TEE - Passagem Direta, TEE - Passagem Angular, TEE - Entrada Central"</formula1>
    </dataValidation>
    <dataValidation type="decimal" operator="greaterThan" allowBlank="1" showInputMessage="1" showErrorMessage="1" sqref="N53 O62:O71 O11:O53" xr:uid="{00000000-0002-0000-0200-000004000000}">
      <formula1>0</formula1>
    </dataValidation>
    <dataValidation type="decimal" operator="greaterThanOrEqual" allowBlank="1" showInputMessage="1" showErrorMessage="1" sqref="P12 H12:H53 J62:L71 J11:L53 H62:H71" xr:uid="{00000000-0002-0000-0200-000005000000}">
      <formula1>0</formula1>
    </dataValidation>
    <dataValidation type="whole" operator="greaterThanOrEqual" allowBlank="1" showInputMessage="1" showErrorMessage="1" sqref="D62:D71 D12:D53" xr:uid="{00000000-0002-0000-0200-000006000000}">
      <formula1>0</formula1>
    </dataValidation>
    <dataValidation type="list" operator="greaterThan" allowBlank="1" showInputMessage="1" showErrorMessage="1" sqref="N62:N71 N12:N52" xr:uid="{00000000-0002-0000-0200-000007000000}">
      <formula1>"16,20,26,32"</formula1>
    </dataValidation>
    <dataValidation type="list" allowBlank="1" showInputMessage="1" showErrorMessage="1" sqref="W7" xr:uid="{00000000-0002-0000-0200-000008000000}">
      <formula1>$X$7:$X$8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Home Emmeti</vt:lpstr>
      <vt:lpstr>GASPEX EMMETI - GN</vt:lpstr>
      <vt:lpstr>GASPEX EMMETI - GLP</vt:lpstr>
      <vt:lpstr>'GASPEX EMMETI - GLP'!CONSUMO</vt:lpstr>
      <vt:lpstr>CONSUMO</vt:lpstr>
      <vt:lpstr>'GASPEX EMMETI - GLP'!TRECHO_PARCIAL</vt:lpstr>
      <vt:lpstr>'GASPEX EMMETI - GN'!TRECHO_PARCIAL</vt:lpstr>
    </vt:vector>
  </TitlesOfParts>
  <Company>Marcelo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Murilo Vale</cp:lastModifiedBy>
  <dcterms:created xsi:type="dcterms:W3CDTF">2012-02-19T22:09:20Z</dcterms:created>
  <dcterms:modified xsi:type="dcterms:W3CDTF">2019-09-26T18:59:12Z</dcterms:modified>
</cp:coreProperties>
</file>