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P:\Engenharia\10 - PLANILHAS\PLANILHA BOMBA DE CALOR\"/>
    </mc:Choice>
  </mc:AlternateContent>
  <xr:revisionPtr revIDLastSave="0" documentId="13_ncr:1_{50B4AE70-3B75-46B7-92F0-6FA3E3CB1C07}" xr6:coauthVersionLast="47" xr6:coauthVersionMax="47" xr10:uidLastSave="{00000000-0000-0000-0000-000000000000}"/>
  <workbookProtection workbookAlgorithmName="SHA-512" workbookHashValue="ffGgzWvlX3OxzAOwNPw25+0lGM93s/NGlfVJoWiSWnBWqPZnzUSlewhmGxBKdYF1JqM7Rz30960v20RfYugxPw==" workbookSaltValue="fzuethByyEChvfb+qyLYsg==" workbookSpinCount="100000" lockStructure="1"/>
  <bookViews>
    <workbookView xWindow="28680" yWindow="-2055" windowWidth="29040" windowHeight="15720" xr2:uid="{763B0E4F-5F45-48B8-A0F0-E8C839178ACE}"/>
  </bookViews>
  <sheets>
    <sheet name="BOMBA DE CALOR" sheetId="3" r:id="rId1"/>
    <sheet name="DIMENSIONAMENTO" sheetId="1" r:id="rId2"/>
    <sheet name="REFERENCIAS" sheetId="4" r:id="rId3"/>
    <sheet name="DADOS" sheetId="2" state="veryHidden" r:id="rId4"/>
    <sheet name="AJUDA" sheetId="5" r:id="rId5"/>
    <sheet name="RELATÓRIO" sheetId="6" r:id="rId6"/>
  </sheets>
  <definedNames>
    <definedName name="_xlnm.Print_Area" localSheetId="5">RELATÓRIO!$A$1:$J$88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6" l="1"/>
  <c r="E61" i="6"/>
  <c r="E60" i="6"/>
  <c r="AD20" i="2"/>
  <c r="AF23" i="2"/>
  <c r="AD29" i="2" s="1"/>
  <c r="B39" i="2"/>
  <c r="AD28" i="2" s="1"/>
  <c r="AD30" i="2" l="1"/>
  <c r="AD31" i="2" s="1"/>
  <c r="AB28" i="2" l="1"/>
  <c r="AB29" i="2"/>
  <c r="I62" i="6" l="1"/>
  <c r="I61" i="6"/>
  <c r="I60" i="6"/>
  <c r="G71" i="6"/>
  <c r="G69" i="6"/>
  <c r="G68" i="6"/>
  <c r="G67" i="6"/>
  <c r="G66" i="6"/>
  <c r="G65" i="6"/>
  <c r="H58" i="6"/>
  <c r="B31" i="2" l="1"/>
  <c r="B29" i="2"/>
  <c r="B28" i="2"/>
  <c r="B27" i="2"/>
  <c r="B26" i="2"/>
  <c r="B11" i="2" l="1"/>
  <c r="B10" i="2"/>
  <c r="B9" i="2"/>
  <c r="B3" i="2"/>
  <c r="B2" i="2"/>
  <c r="B1" i="2"/>
  <c r="C29" i="2"/>
  <c r="C31" i="2"/>
  <c r="C26" i="2"/>
  <c r="B14" i="2" l="1"/>
  <c r="B12" i="2"/>
  <c r="B4" i="2" s="1"/>
  <c r="D58" i="6" s="1"/>
  <c r="C24" i="4"/>
  <c r="C25" i="4"/>
  <c r="C26" i="4"/>
  <c r="C27" i="4"/>
  <c r="C28" i="4"/>
  <c r="C23" i="4"/>
  <c r="B33" i="2"/>
  <c r="C33" i="2" s="1"/>
  <c r="C29" i="4" l="1"/>
  <c r="B21" i="2"/>
  <c r="B20" i="2"/>
  <c r="B6" i="2" l="1"/>
  <c r="C27" i="2" s="1"/>
  <c r="B22" i="2"/>
  <c r="B23" i="2" s="1"/>
  <c r="C28" i="2" l="1"/>
  <c r="F1" i="2"/>
  <c r="F2" i="2" s="1"/>
  <c r="B5" i="2"/>
  <c r="F3" i="2" l="1"/>
  <c r="AB26" i="2" s="1"/>
  <c r="F4" i="2" l="1"/>
  <c r="F5" i="2" s="1"/>
  <c r="AC26" i="2"/>
  <c r="G5" i="2" l="1"/>
  <c r="A42" i="2"/>
  <c r="I5" i="2"/>
  <c r="C30" i="4" s="1"/>
  <c r="AG12" i="2" l="1"/>
  <c r="AG11" i="2"/>
  <c r="AG13" i="2"/>
  <c r="AG3" i="2"/>
  <c r="AG6" i="2"/>
  <c r="AG4" i="2"/>
  <c r="AG14" i="2"/>
  <c r="AG9" i="2"/>
  <c r="AG10" i="2"/>
  <c r="AG7" i="2"/>
  <c r="AG8" i="2"/>
  <c r="AG5" i="2"/>
  <c r="AC7" i="2"/>
  <c r="AC3" i="2"/>
  <c r="AC8" i="2"/>
  <c r="AC9" i="2"/>
  <c r="AC12" i="2"/>
  <c r="AC10" i="2"/>
  <c r="AC13" i="2"/>
  <c r="AC11" i="2"/>
  <c r="AC5" i="2"/>
  <c r="AC4" i="2"/>
  <c r="AC6" i="2"/>
  <c r="AC14" i="2"/>
  <c r="G13" i="6"/>
  <c r="H14" i="6" s="1"/>
  <c r="AH9" i="2" l="1"/>
  <c r="C81" i="6"/>
  <c r="AH14" i="2"/>
  <c r="C86" i="6"/>
  <c r="AH4" i="2"/>
  <c r="C76" i="6"/>
  <c r="AH6" i="2"/>
  <c r="C78" i="6"/>
  <c r="AH5" i="2"/>
  <c r="C77" i="6"/>
  <c r="AH3" i="2"/>
  <c r="C75" i="6"/>
  <c r="AH8" i="2"/>
  <c r="C80" i="6"/>
  <c r="AH13" i="2"/>
  <c r="C85" i="6"/>
  <c r="AH7" i="2"/>
  <c r="C79" i="6"/>
  <c r="AH11" i="2"/>
  <c r="C83" i="6"/>
  <c r="AH10" i="2"/>
  <c r="C82" i="6"/>
  <c r="AH12" i="2"/>
  <c r="C84" i="6"/>
  <c r="AD3" i="2"/>
  <c r="AD14" i="2"/>
  <c r="AD11" i="2"/>
  <c r="AD13" i="2"/>
  <c r="AD10" i="2"/>
  <c r="AD9" i="2"/>
  <c r="AD8" i="2"/>
  <c r="AD4" i="2"/>
  <c r="AD12" i="2"/>
  <c r="AD6" i="2"/>
  <c r="AD5" i="2"/>
  <c r="AD7" i="2"/>
  <c r="H23" i="6"/>
  <c r="H21" i="6"/>
  <c r="H27" i="6"/>
  <c r="H16" i="6"/>
  <c r="H26" i="6"/>
  <c r="H24" i="6"/>
  <c r="H18" i="6"/>
  <c r="H32" i="6"/>
  <c r="H15" i="6"/>
  <c r="H25" i="6"/>
  <c r="H22" i="6"/>
  <c r="H34" i="6"/>
  <c r="H17" i="6"/>
  <c r="H29" i="6"/>
  <c r="H20" i="6"/>
  <c r="H19" i="6"/>
  <c r="H28" i="6"/>
  <c r="H33" i="6"/>
  <c r="H31" i="6"/>
  <c r="H30" i="6"/>
  <c r="D75" i="6" l="1"/>
  <c r="D86" i="6"/>
  <c r="D84" i="6"/>
  <c r="D83" i="6"/>
  <c r="D85" i="6"/>
  <c r="D78" i="6"/>
  <c r="D82" i="6"/>
  <c r="D80" i="6"/>
  <c r="D76" i="6"/>
  <c r="D79" i="6"/>
  <c r="D77" i="6"/>
  <c r="D81" i="6"/>
  <c r="AG15" i="2"/>
  <c r="AC15" i="2"/>
  <c r="C8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Orlando Barbosa Junior</author>
  </authors>
  <commentList>
    <comment ref="F1" authorId="0" shapeId="0" xr:uid="{CEED8F56-6053-418C-88C2-CF004451B030}">
      <text>
        <r>
          <rPr>
            <b/>
            <sz val="9"/>
            <color indexed="81"/>
            <rFont val="Segoe UI"/>
            <family val="2"/>
          </rPr>
          <t>(Obs.: constante 1.163 = 1000·c / 3600, com c ≈ 4,186 kJ/kg°C.)</t>
        </r>
      </text>
    </comment>
    <comment ref="I5" authorId="0" shapeId="0" xr:uid="{0BD00E40-72F4-4D55-B2CB-CED17E1A6F3A}">
      <text>
        <r>
          <rPr>
            <b/>
            <sz val="9"/>
            <color indexed="81"/>
            <rFont val="Segoe UI"/>
            <family val="2"/>
          </rPr>
          <t>margem para simulação de multi bombas</t>
        </r>
      </text>
    </comment>
  </commentList>
</comments>
</file>

<file path=xl/sharedStrings.xml><?xml version="1.0" encoding="utf-8"?>
<sst xmlns="http://schemas.openxmlformats.org/spreadsheetml/2006/main" count="495" uniqueCount="308">
  <si>
    <t>LARGURA</t>
  </si>
  <si>
    <t>COMPRIMENTO</t>
  </si>
  <si>
    <t>ALTURA</t>
  </si>
  <si>
    <t>M³</t>
  </si>
  <si>
    <t>BORDA INFINITA</t>
  </si>
  <si>
    <t>VENTO</t>
  </si>
  <si>
    <t>PISCINA COBERTA</t>
  </si>
  <si>
    <t>CAPA TERMICA</t>
  </si>
  <si>
    <t>TEMPO DE AQUECIMENTO</t>
  </si>
  <si>
    <t>TEMPERATURA INICIAL (°C)</t>
  </si>
  <si>
    <t>TEMPERATURA FINAL (°C)</t>
  </si>
  <si>
    <t>°C</t>
  </si>
  <si>
    <t>Q</t>
  </si>
  <si>
    <t>P(Kw)</t>
  </si>
  <si>
    <t>NÃO</t>
  </si>
  <si>
    <t>BTU/h</t>
  </si>
  <si>
    <t>DIMENSIONAMENTO DE BOMBA DE CALOR</t>
  </si>
  <si>
    <t>DIMENSÕES</t>
  </si>
  <si>
    <t>CARACTERISTICAS</t>
  </si>
  <si>
    <t>TEMPERATURA POR TIPO DE USO</t>
  </si>
  <si>
    <t>25 a 28º C</t>
  </si>
  <si>
    <t>36 a 38º C</t>
  </si>
  <si>
    <t>27 a 29º C</t>
  </si>
  <si>
    <t>30 a 34º C</t>
  </si>
  <si>
    <t>SPA</t>
  </si>
  <si>
    <t>COMPETIÇÃO</t>
  </si>
  <si>
    <t>RECREAÇÃO</t>
  </si>
  <si>
    <t>NATAÇÃO PARA BEBÊS</t>
  </si>
  <si>
    <t>HIDROTERAPIA</t>
  </si>
  <si>
    <t>NATAÇÃO PARA CRIANÇAS</t>
  </si>
  <si>
    <t xml:space="preserve"> 29 a 32º C</t>
  </si>
  <si>
    <t>BOMBAS DE CALOR</t>
  </si>
  <si>
    <t>BC23INV</t>
  </si>
  <si>
    <t>BC45INV</t>
  </si>
  <si>
    <t>BC62INV</t>
  </si>
  <si>
    <t>BC81INV</t>
  </si>
  <si>
    <t>BC95INV</t>
  </si>
  <si>
    <t>BC30INV</t>
  </si>
  <si>
    <t>MÉDIA DE TEMPERATURA POR REGIÃO</t>
  </si>
  <si>
    <t>NORTE</t>
  </si>
  <si>
    <t>NORDESTE</t>
  </si>
  <si>
    <t>CENTRO-OESTE</t>
  </si>
  <si>
    <t>SUDESTE</t>
  </si>
  <si>
    <t>SUL</t>
  </si>
  <si>
    <t>26 a 28º C</t>
  </si>
  <si>
    <t>24 a 27º C</t>
  </si>
  <si>
    <t>23 a 26º C</t>
  </si>
  <si>
    <t xml:space="preserve"> 20 a 24º C</t>
  </si>
  <si>
    <t>16 a 20º C</t>
  </si>
  <si>
    <t>Acre</t>
  </si>
  <si>
    <t>Alagoas</t>
  </si>
  <si>
    <t>Amapá</t>
  </si>
  <si>
    <t>Amazonas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</si>
  <si>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</si>
  <si>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</si>
  <si>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</si>
  <si>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</si>
  <si>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</si>
  <si>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</si>
  <si>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</si>
  <si>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</si>
  <si>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</si>
  <si>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</si>
  <si>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</si>
  <si>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</si>
  <si>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</si>
  <si>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</si>
  <si>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</si>
  <si>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</si>
  <si>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</si>
  <si>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</si>
  <si>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</si>
  <si>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</si>
  <si>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</si>
  <si>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</si>
  <si>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</si>
  <si>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25,5°C</t>
  </si>
  <si>
    <t>25°C</t>
  </si>
  <si>
    <t>27°C</t>
  </si>
  <si>
    <t>26,5°C</t>
  </si>
  <si>
    <t>24,5°C</t>
  </si>
  <si>
    <t>26°C</t>
  </si>
  <si>
    <t>22°C</t>
  </si>
  <si>
    <t>24°C</t>
  </si>
  <si>
    <t>23°C</t>
  </si>
  <si>
    <t>22,5°C</t>
  </si>
  <si>
    <t>20°C</t>
  </si>
  <si>
    <t>23,5°C</t>
  </si>
  <si>
    <t>18°C</t>
  </si>
  <si>
    <t>27,5°C</t>
  </si>
  <si>
    <t>19°C</t>
  </si>
  <si>
    <t>21,5°C</t>
  </si>
  <si>
    <t>TEMPERATURA FINAL</t>
  </si>
  <si>
    <t xml:space="preserve">    REFERÊNCIAS</t>
  </si>
  <si>
    <t>VELOCIDADE DO VENTO</t>
  </si>
  <si>
    <t>MÉDIA DE TEMPERATURA POR ESTADO</t>
  </si>
  <si>
    <t>MÉDIA DA VELOCIDADE POR REGIÃO  (m/s)</t>
  </si>
  <si>
    <t>1,5 - 2,5</t>
  </si>
  <si>
    <t>2,5 - 4,0</t>
  </si>
  <si>
    <t>2,0 - 3,5</t>
  </si>
  <si>
    <t>2,0 - 3,0</t>
  </si>
  <si>
    <t>3,0 - 4,5</t>
  </si>
  <si>
    <t>MÉDIA DA VELOCIDADE POR ESTADO (m/s)</t>
  </si>
  <si>
    <t>1,5 – 2,0</t>
  </si>
  <si>
    <t>2,5 – 3,5</t>
  </si>
  <si>
    <t>2,0 – 2,5</t>
  </si>
  <si>
    <t>2,5 – 4,0</t>
  </si>
  <si>
    <t>3,0 – 4,5</t>
  </si>
  <si>
    <t>2,0 – 3,0</t>
  </si>
  <si>
    <t>3,0 – 4,0</t>
  </si>
  <si>
    <t>3,5 – 4,5</t>
  </si>
  <si>
    <t>1,5 – 2,5</t>
  </si>
  <si>
    <t>23000 BTU</t>
  </si>
  <si>
    <t>30000 BTU</t>
  </si>
  <si>
    <t>45000 BTU</t>
  </si>
  <si>
    <t>62000 BTU</t>
  </si>
  <si>
    <t>81000 BTU</t>
  </si>
  <si>
    <t>95000 BTU*</t>
  </si>
  <si>
    <r>
      <rPr>
        <b/>
        <sz val="9"/>
        <color rgb="FFFF0000"/>
        <rFont val="Aptos Narrow"/>
        <family val="2"/>
        <scheme val="minor"/>
      </rPr>
      <t>*</t>
    </r>
    <r>
      <rPr>
        <sz val="9"/>
        <color theme="1" tint="0.499984740745262"/>
        <rFont val="Aptos Narrow"/>
        <family val="2"/>
        <scheme val="minor"/>
      </rPr>
      <t xml:space="preserve"> Bomba de Calor indisponível para comercialização.</t>
    </r>
  </si>
  <si>
    <t>BOMBA CORRESPONDENTE</t>
  </si>
  <si>
    <t>TEMP. AMBINTE</t>
  </si>
  <si>
    <t>INICIO</t>
  </si>
  <si>
    <t>DIMENSIONAR</t>
  </si>
  <si>
    <t>REFERÊNCIAS</t>
  </si>
  <si>
    <t>VOLTAR</t>
  </si>
  <si>
    <r>
      <t xml:space="preserve">Os valores apresentados são estimativos para uso de </t>
    </r>
    <r>
      <rPr>
        <b/>
        <sz val="12"/>
        <color rgb="FF0070C0"/>
        <rFont val="Aptos Narrow"/>
        <family val="2"/>
        <scheme val="minor"/>
      </rPr>
      <t>1 Bomba de Calor</t>
    </r>
    <r>
      <rPr>
        <b/>
        <sz val="12"/>
        <color theme="1"/>
        <rFont val="Aptos Narrow"/>
        <family val="2"/>
        <scheme val="minor"/>
      </rPr>
      <t>, e podem sofrer variações caso a perda térmica seja superior ao limite tolerado e/ou as informações fornecidas não condizem com a realidade da instalação.</t>
    </r>
  </si>
  <si>
    <t>AJUDA</t>
  </si>
  <si>
    <t>SEM VENTO</t>
  </si>
  <si>
    <t>SIM</t>
  </si>
  <si>
    <t>TEMPERATURA AMBIENTE</t>
  </si>
  <si>
    <t>ESCALA SIMPLIFICADA</t>
  </si>
  <si>
    <t>FRACO</t>
  </si>
  <si>
    <t>MODERADO</t>
  </si>
  <si>
    <t>FORTE</t>
  </si>
  <si>
    <t>2,0 - 3,9</t>
  </si>
  <si>
    <t>0,0 - 1,9</t>
  </si>
  <si>
    <t>4,0 - 5,9</t>
  </si>
  <si>
    <r>
      <t xml:space="preserve">6,0 - </t>
    </r>
    <r>
      <rPr>
        <b/>
        <sz val="11"/>
        <color rgb="FFFF0000"/>
        <rFont val="Aptos Narrow"/>
        <family val="2"/>
        <scheme val="minor"/>
      </rPr>
      <t>X</t>
    </r>
  </si>
  <si>
    <t>SIMULAÇÃO PARA MULTIPLAS BOMBAS</t>
  </si>
  <si>
    <r>
      <t xml:space="preserve">PODE OCORRER QUE A POTÊNCIA NECESSÁRIA PARA AQUECIMENTO DA PISCINA SEJA MAIS ELEVADA DO QUE A MAIOR POTÊNCIA DAS BOMBAS COMERCIALIZADAS, SENDO NECESSARIO VERIFICAR O USO DE MAIS BOMBAS OU AJUSTAR AS CARACTERISTICAS COMPLEMENTARES DA PISCINA PARA AUXILIAR NA EFICIÊNCIA DA BOMBA INDICADA. 
EM </t>
    </r>
    <r>
      <rPr>
        <b/>
        <sz val="11"/>
        <color theme="1" tint="0.499984740745262"/>
        <rFont val="Aptos Narrow"/>
        <family val="2"/>
        <scheme val="minor"/>
      </rPr>
      <t>REFERENCIAS</t>
    </r>
    <r>
      <rPr>
        <sz val="11"/>
        <color theme="1" tint="0.499984740745262"/>
        <rFont val="Aptos Narrow"/>
        <family val="2"/>
        <scheme val="minor"/>
      </rPr>
      <t xml:space="preserve"> HÁ UM SIMULADOR PARA MULTIPLAS BOMBAS.</t>
    </r>
  </si>
  <si>
    <t>REFERENCIAS</t>
  </si>
  <si>
    <t>NA PARTE SUPERIOR É POSSIVEL VERIFICAR TANTO A POTÊNCIA NECESSÁRIA PARA ATENDER AS CARACTERISTICAS DA PISCINA, QUANTO A INDICAÇÃO DA BOMBA MAIS ADEQUADA.</t>
  </si>
  <si>
    <t>ANEXO</t>
  </si>
  <si>
    <t>CASCATA</t>
  </si>
  <si>
    <t>ÁREA</t>
  </si>
  <si>
    <t>M²</t>
  </si>
  <si>
    <t>P ajus (Kw)</t>
  </si>
  <si>
    <t>P ajus (BTU)</t>
  </si>
  <si>
    <t>Fator de Ajuste</t>
  </si>
  <si>
    <t>Temperatura (°C)</t>
  </si>
  <si>
    <t>A - LARGURA</t>
  </si>
  <si>
    <t>B - COMPRIMENTO</t>
  </si>
  <si>
    <t>C - PROFUNDIDADE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</si>
  <si>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</si>
  <si>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</si>
  <si>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</si>
  <si>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</si>
  <si>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</si>
  <si>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</si>
  <si>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</si>
  <si>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</si>
  <si>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</si>
  <si>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</si>
  <si>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</si>
  <si>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</si>
  <si>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</si>
  <si>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Kw</t>
  </si>
  <si>
    <t>R$</t>
  </si>
  <si>
    <t xml:space="preserve">BOMBA CALOR </t>
  </si>
  <si>
    <t>MÉDIA</t>
  </si>
  <si>
    <t>CUSTOS</t>
  </si>
  <si>
    <t>FONTES</t>
  </si>
  <si>
    <t>UNIDADE</t>
  </si>
  <si>
    <t>CUSTOS (R$)</t>
  </si>
  <si>
    <t>ENERGIA ELÉTRICA</t>
  </si>
  <si>
    <t>KWH</t>
  </si>
  <si>
    <t>GÁS NATURAL</t>
  </si>
  <si>
    <t>m³</t>
  </si>
  <si>
    <t>GLP</t>
  </si>
  <si>
    <t>Kg</t>
  </si>
  <si>
    <t>TEMPERATURA INICIAL  (°C)</t>
  </si>
  <si>
    <t>TEMPERATURA FINAL  (°C)</t>
  </si>
  <si>
    <t>TEMPERATURA AMBIENTE  (°C)</t>
  </si>
  <si>
    <t>TEMPO AQUECIMENTO (H)</t>
  </si>
  <si>
    <t>VOCÊ INFORMARÁ A TEMPERATURA INICIAL DA ÁGUA DA SUA PISCINA ANTES DO AQUECIMENTO, E DETERMINARÁ O VALOR DA TEMPERATURA A SER ALCANÇADA PELO AQUECIMENTO;
TAMBÉM IRÁ INFORMAR A TEMPERATURA MÉDIA DO LOCAL ONDE A PISCINA ESTÁ.</t>
  </si>
  <si>
    <t>APONTAR AS CARACTERISTICAS QUE COMPLEMENTAM A INSTALAÇÃO DA PISCINA E QUE AJUDAM A DIMENSIONAR A BOMBA DE CALOR. POR EXEMPLO, A CAPA TÉRMICA CONTRIBUI PARA QUE O AQUECIMENTO DA PISCINA ACONTEÇA DE FORMA MAIS ACELERADA, POIS IMPEDE A DISCIPAÇÃO DO CALOR.</t>
  </si>
  <si>
    <t>VELOCIDADE DO VENTO (m/s)</t>
  </si>
  <si>
    <t>TEMPERATURAS</t>
  </si>
  <si>
    <r>
      <t xml:space="preserve">NO SIMULADOR, VOCÊ IRA INFORMAR AS BOMBAS NOS CAMPOS BRANCOS, E NO CAMPO AO LADO, AUTOMATICAMENTE , O SIMULADOR INFORMARÁ OS </t>
    </r>
    <r>
      <rPr>
        <b/>
        <i/>
        <sz val="11"/>
        <color theme="1" tint="0.499984740745262"/>
        <rFont val="Aptos Narrow"/>
        <family val="2"/>
        <scheme val="minor"/>
      </rPr>
      <t>BTUS</t>
    </r>
    <r>
      <rPr>
        <sz val="11"/>
        <color theme="1" tint="0.499984740745262"/>
        <rFont val="Aptos Narrow"/>
        <family val="2"/>
        <scheme val="minor"/>
      </rPr>
      <t xml:space="preserve"> CORRESPONDENTES DA MAQUINA E TAMBÉM DARÁ UMA PRÉVIA DOS </t>
    </r>
    <r>
      <rPr>
        <b/>
        <i/>
        <sz val="11"/>
        <color theme="1" tint="0.499984740745262"/>
        <rFont val="Aptos Narrow"/>
        <family val="2"/>
        <scheme val="minor"/>
      </rPr>
      <t>BTUS TOTAIS</t>
    </r>
    <r>
      <rPr>
        <sz val="11"/>
        <color theme="1" tint="0.499984740745262"/>
        <rFont val="Aptos Narrow"/>
        <family val="2"/>
        <scheme val="minor"/>
      </rPr>
      <t xml:space="preserve">, E SE ESSA SOMA ESTA DENTRO DO NECESSÁRIO. </t>
    </r>
  </si>
  <si>
    <r>
      <rPr>
        <b/>
        <sz val="11"/>
        <color rgb="FF0070C0"/>
        <rFont val="Aptos Narrow"/>
        <family val="2"/>
        <scheme val="minor"/>
      </rPr>
      <t>OBS:</t>
    </r>
    <r>
      <rPr>
        <sz val="11"/>
        <color theme="1" tint="0.499984740745262"/>
        <rFont val="Aptos Narrow"/>
        <family val="2"/>
        <scheme val="minor"/>
      </rPr>
      <t xml:space="preserve"> - EM </t>
    </r>
    <r>
      <rPr>
        <b/>
        <sz val="11"/>
        <color theme="1" tint="0.499984740745262"/>
        <rFont val="Aptos Narrow"/>
        <family val="2"/>
        <scheme val="minor"/>
      </rPr>
      <t>REFERÊNCIAS</t>
    </r>
    <r>
      <rPr>
        <sz val="11"/>
        <color theme="1" tint="0.499984740745262"/>
        <rFont val="Aptos Narrow"/>
        <family val="2"/>
        <scheme val="minor"/>
      </rPr>
      <t xml:space="preserve"> É POSSIVEL TER UMA BASE DOS TEMPERATURAS MÉDIAS POR REGIÃO E ESTADO, ALÉM DE SABER UMA ESTIMATIVA DE TEMPERATURA ESPERADA PARA CADA TIPO DE UTILIZAÇÃO DA PISCINA. NELA VOCÊ TAMBÉM ENCONTRA A MÉDIA DA VELOCIDADE DO VENTO EM CADA ESTADO E REGIÃO, ALÉM OUTROS DADOS QUE PODEM AJUDAR A PREENCHER A PLANILHA DE DIMENSIONAMENTO.</t>
    </r>
  </si>
  <si>
    <t>Btu/h</t>
  </si>
  <si>
    <t>kW</t>
  </si>
  <si>
    <t>COP</t>
  </si>
  <si>
    <t>Potência nominal de aquecimento</t>
  </si>
  <si>
    <t>Capacidade nominal de aquecimento (15°C / 12°C)</t>
  </si>
  <si>
    <t>Capacidade nominal de aquecimento (27°C / 24,3°C)</t>
  </si>
  <si>
    <t>Fonte de energia</t>
  </si>
  <si>
    <t>Quantidade do Compressor</t>
  </si>
  <si>
    <t>Compressor</t>
  </si>
  <si>
    <t>Quantidade de Ventilador</t>
  </si>
  <si>
    <t>Velocidade do Ventilador</t>
  </si>
  <si>
    <t>Ruído</t>
  </si>
  <si>
    <t>Conexão de água</t>
  </si>
  <si>
    <t>Volume de Fluxo da Água</t>
  </si>
  <si>
    <t>Queda de pressão da água (máx.)</t>
  </si>
  <si>
    <t>Dimensão do produto (C/L/A)</t>
  </si>
  <si>
    <t>Peso Líquido</t>
  </si>
  <si>
    <t>Peso</t>
  </si>
  <si>
    <t>RPM</t>
  </si>
  <si>
    <t>dB(A)</t>
  </si>
  <si>
    <t>mm</t>
  </si>
  <si>
    <t>m³/h</t>
  </si>
  <si>
    <t>kPa</t>
  </si>
  <si>
    <t>kg</t>
  </si>
  <si>
    <t>Dimensão do produto</t>
  </si>
  <si>
    <t>6824 - 23884</t>
  </si>
  <si>
    <t>0,25 - 1,21</t>
  </si>
  <si>
    <t>10,2 - 5,8</t>
  </si>
  <si>
    <t>3723,2 - 17060</t>
  </si>
  <si>
    <t>1,1 - 5,0</t>
  </si>
  <si>
    <t>0,18 - 1,25</t>
  </si>
  <si>
    <t>6,0 - 4,0</t>
  </si>
  <si>
    <t>220 - 240V~/1Ph</t>
  </si>
  <si>
    <t>Rotativo</t>
  </si>
  <si>
    <t>500~700</t>
  </si>
  <si>
    <t>38 - 51</t>
  </si>
  <si>
    <t>888x360x618</t>
  </si>
  <si>
    <t>970x410x630</t>
  </si>
  <si>
    <t>8188 - 30708</t>
  </si>
  <si>
    <t>0,3 - 1,55</t>
  </si>
  <si>
    <t>10,0 - 5,8</t>
  </si>
  <si>
    <t>1,2 - 6,5</t>
  </si>
  <si>
    <t>40944 - 22178</t>
  </si>
  <si>
    <t>6,0 - 4,1</t>
  </si>
  <si>
    <t>40 - 52</t>
  </si>
  <si>
    <t>3,2 - 13,2</t>
  </si>
  <si>
    <t>10918 - 45038</t>
  </si>
  <si>
    <t>0,38 - 2,28</t>
  </si>
  <si>
    <t>10,3 - 5,8</t>
  </si>
  <si>
    <t>1,78 - 9,95</t>
  </si>
  <si>
    <t>6073,4 - 33949,4</t>
  </si>
  <si>
    <t>0,29 - 2,26</t>
  </si>
  <si>
    <t>6,2 - 4,4</t>
  </si>
  <si>
    <t>500~800</t>
  </si>
  <si>
    <t>50~800</t>
  </si>
  <si>
    <t>42 - 54</t>
  </si>
  <si>
    <t>4,38 - 18,4</t>
  </si>
  <si>
    <t>14944 - 62780</t>
  </si>
  <si>
    <t>0,52 - 3,17</t>
  </si>
  <si>
    <t>2,4 - 13,8</t>
  </si>
  <si>
    <t>8188,8 - 47085,6</t>
  </si>
  <si>
    <t>0,39 - 3,07</t>
  </si>
  <si>
    <t>6,1 - 4,5</t>
  </si>
  <si>
    <t>500~750</t>
  </si>
  <si>
    <t>44 - 56</t>
  </si>
  <si>
    <t>1048x450x770</t>
  </si>
  <si>
    <t>1130x485x780</t>
  </si>
  <si>
    <t>4,7 - 24,0</t>
  </si>
  <si>
    <t>2,0 - 7,0</t>
  </si>
  <si>
    <t>2,4 - 9,0</t>
  </si>
  <si>
    <t>16036 - 81888</t>
  </si>
  <si>
    <t>13,0 - 6,0</t>
  </si>
  <si>
    <t>4,4 - 18,5</t>
  </si>
  <si>
    <t>15012 - 63122</t>
  </si>
  <si>
    <t>7,20 - 4,60</t>
  </si>
  <si>
    <t>400~800</t>
  </si>
  <si>
    <t>45 - 46</t>
  </si>
  <si>
    <t>1160x490x862</t>
  </si>
  <si>
    <t>1210x510x880</t>
  </si>
  <si>
    <t>7,7 - 28,0</t>
  </si>
  <si>
    <t>26272 - 95536</t>
  </si>
  <si>
    <t>6,4 - 21,8</t>
  </si>
  <si>
    <t>21836,8 - 74381,6</t>
  </si>
  <si>
    <t>0,88 - 4,74</t>
  </si>
  <si>
    <t>7,3 - 4,6</t>
  </si>
  <si>
    <t>380v~/3Ph</t>
  </si>
  <si>
    <t>45 - 57</t>
  </si>
  <si>
    <t>E=P.Δt</t>
  </si>
  <si>
    <t>CUSTO Kw/H</t>
  </si>
  <si>
    <t>A</t>
  </si>
  <si>
    <t>B</t>
  </si>
  <si>
    <t>C</t>
  </si>
  <si>
    <t>INICIAL</t>
  </si>
  <si>
    <t>FINAL</t>
  </si>
  <si>
    <t>AMBIENTE</t>
  </si>
  <si>
    <t>TEMPO AQUECIMENTO</t>
  </si>
  <si>
    <t>VELOCIDADE VENTO</t>
  </si>
  <si>
    <t>0,36 -4,00</t>
  </si>
  <si>
    <t>0,59 - 4,70</t>
  </si>
  <si>
    <t>0,61 - 4,02</t>
  </si>
  <si>
    <t>0,20 - 1,57</t>
  </si>
  <si>
    <t>finais de semana</t>
  </si>
  <si>
    <t>finais de semana?</t>
  </si>
  <si>
    <t>qtas horas de uso diario?</t>
  </si>
  <si>
    <t>dias</t>
  </si>
  <si>
    <t>total horas</t>
  </si>
  <si>
    <t>horas de uso no mês em fds</t>
  </si>
  <si>
    <t>horas de uso no mês</t>
  </si>
  <si>
    <t>QUANTAS HORAS DE USO DIÁRIO</t>
  </si>
  <si>
    <t>FREQUENCIA DE USO</t>
  </si>
  <si>
    <t>VALOR  Kw/H (R$)</t>
  </si>
  <si>
    <t>O valor desse relatório é uma estimativa.</t>
  </si>
  <si>
    <r>
      <t>EM RELATÓRIOS, É POSSIVEL VERIFICAR AS INFORMAÇÕES TÉCNICAS DA BOMBA SUGERIDA PELO DIMENCIONADOR, ALÉM DE REVISAR AS INFORMAÇÕES INSERIDAS PARA A BASE DE CALCULO DE DIMENSIONAMENTO.
ELA MOSTRA TAMBÉM UMA ESTIMATIVA DE CONSUMO (</t>
    </r>
    <r>
      <rPr>
        <b/>
        <i/>
        <sz val="11"/>
        <color theme="1" tint="0.499984740745262"/>
        <rFont val="Aptos Narrow"/>
        <family val="2"/>
        <scheme val="minor"/>
      </rPr>
      <t>kW/h</t>
    </r>
    <r>
      <rPr>
        <sz val="11"/>
        <color theme="1" tint="0.499984740745262"/>
        <rFont val="Aptos Narrow"/>
        <family val="2"/>
        <scheme val="minor"/>
      </rPr>
      <t xml:space="preserve">) E VALOR PARA ESSE CONSUMO, PODENDO DEFINIR O CONSUMO EM USO DIÁRIO OU AOS FINAIS DE SEMANA.
TAMBÉM É POSSÍVEL ALTERAR O VALOR DO DO </t>
    </r>
    <r>
      <rPr>
        <b/>
        <i/>
        <sz val="11"/>
        <color theme="1" tint="0.499984740745262"/>
        <rFont val="Aptos Narrow"/>
        <family val="2"/>
        <scheme val="minor"/>
      </rPr>
      <t>kW/h</t>
    </r>
    <r>
      <rPr>
        <sz val="11"/>
        <color theme="1" tint="0.499984740745262"/>
        <rFont val="Aptos Narrow"/>
        <family val="2"/>
        <scheme val="minor"/>
      </rPr>
      <t xml:space="preserve"> PARA A REALIDADE DA REGIÃO ONDE A BOMBA SERÁ INSTALADA.</t>
    </r>
  </si>
  <si>
    <t>RELATÓRIO</t>
  </si>
  <si>
    <r>
      <t xml:space="preserve">AS DIMENSÕES NECESSÁRIAS SÃO LARGURA, COMPRIMENTO E PROFUNDIDADE DA PISCINA, ELA RETORNARÁ AUTOMATICAMENTE O VOLUME DA SUA PISCINA. DEVE-SE INCLUIR TAMBÉM AS MEDIDAS DOS ANEXOS (DECK MOLHADO OU OUTRA ÁREA QUE COMPÕE O AMBIENTE DA PISCINA E QUE SERÁ AQUECIDO. CASO SÓ TENHA O VOLUME TOTAL DA PISCINA, PODE INSERIR DIRETAMENTE NO CAMPO VERDE, LEMBRANDO QUE A MEDIDA SERÁ EM </t>
    </r>
    <r>
      <rPr>
        <u/>
        <sz val="11"/>
        <color theme="1" tint="0.499984740745262"/>
        <rFont val="Aptos Narrow"/>
        <family val="2"/>
        <scheme val="minor"/>
      </rPr>
      <t>LITROS</t>
    </r>
    <r>
      <rPr>
        <sz val="11"/>
        <color theme="1" tint="0.499984740745262"/>
        <rFont val="Aptos Narrow"/>
        <family val="2"/>
        <scheme val="minor"/>
      </rPr>
      <t xml:space="preserve"> (</t>
    </r>
    <r>
      <rPr>
        <b/>
        <sz val="11"/>
        <color theme="1" tint="0.499984740745262"/>
        <rFont val="Aptos Narrow"/>
        <family val="2"/>
        <scheme val="minor"/>
      </rPr>
      <t>1000 LITROS</t>
    </r>
    <r>
      <rPr>
        <sz val="11"/>
        <color theme="1" tint="0.499984740745262"/>
        <rFont val="Aptos Narrow"/>
        <family val="2"/>
        <scheme val="minor"/>
      </rPr>
      <t xml:space="preserve"> = </t>
    </r>
    <r>
      <rPr>
        <b/>
        <sz val="11"/>
        <color theme="1" tint="0.499984740745262"/>
        <rFont val="Aptos Narrow"/>
        <family val="2"/>
        <scheme val="minor"/>
      </rPr>
      <t>1M³</t>
    </r>
    <r>
      <rPr>
        <sz val="11"/>
        <color theme="1" tint="0.499984740745262"/>
        <rFont val="Aptos Narrow"/>
        <family val="2"/>
        <scheme val="minor"/>
      </rPr>
      <t>).</t>
    </r>
  </si>
  <si>
    <r>
      <t>AO SELECIONAR A OPÇÃO "</t>
    </r>
    <r>
      <rPr>
        <b/>
        <i/>
        <sz val="11"/>
        <color theme="1" tint="0.499984740745262"/>
        <rFont val="Aptos Narrow"/>
        <family val="2"/>
        <scheme val="minor"/>
      </rPr>
      <t>APENAS FINAIS DE SEMANA</t>
    </r>
    <r>
      <rPr>
        <sz val="11"/>
        <color theme="1" tint="0.499984740745262"/>
        <rFont val="Aptos Narrow"/>
        <family val="2"/>
        <scheme val="minor"/>
      </rPr>
      <t>" EM FREQUÊNCIA DE USO, SERÁ HABILITADA A INSERÇÃO DAS HORAS DE UTILIZAÇÃO AOS FINAIS DE SEMANA. O QUADRO DE CONSUMO E VALORES IRÁ MUDAR DE COR E ATUALIZARÁ OS VALORES.</t>
    </r>
  </si>
  <si>
    <t>APENAS FINAIS DE SEMANA</t>
  </si>
  <si>
    <r>
      <t xml:space="preserve">Este sistema funciona exclusivamente como indicativo para o dimensionamento de bombas de calor. Para valores exatos, consulte um profissional especializado.
Pois o dimensionamento depende de diversos fatores, como: temperatura ambiente, temperatura desejada da água, localização da piscina, incidência de vento e sol, volume em metros cúbicos, área superficial e se a piscina é aberta ou coberta. 
Não há fórmula matemática exata para esse cálculo, pois cada piscina apresenta comportamento térmico distinto, inclusive ao longo de um mesmo dia.
Em caso de dúvidas, a Equipe Técnica e de Qualidade da </t>
    </r>
    <r>
      <rPr>
        <b/>
        <sz val="11"/>
        <color theme="1" tint="0.499984740745262"/>
        <rFont val="Aptos Narrow"/>
        <family val="2"/>
        <scheme val="minor"/>
      </rPr>
      <t>EMMETI</t>
    </r>
    <r>
      <rPr>
        <sz val="11"/>
        <color theme="1" tint="0.499984740745262"/>
        <rFont val="Aptos Narrow"/>
        <family val="2"/>
        <scheme val="minor"/>
      </rPr>
      <t xml:space="preserve"> estão à disposição para prestar suporte adequado.
A </t>
    </r>
    <r>
      <rPr>
        <b/>
        <sz val="11"/>
        <color theme="1" tint="0.499984740745262"/>
        <rFont val="Aptos Narrow"/>
        <family val="2"/>
        <scheme val="minor"/>
      </rPr>
      <t>EMMETI</t>
    </r>
    <r>
      <rPr>
        <sz val="11"/>
        <color theme="1" tint="0.499984740745262"/>
        <rFont val="Aptos Narrow"/>
        <family val="2"/>
        <scheme val="minor"/>
      </rPr>
      <t xml:space="preserve"> orienta a elevação do </t>
    </r>
    <r>
      <rPr>
        <b/>
        <i/>
        <sz val="11"/>
        <color theme="1" tint="0.499984740745262"/>
        <rFont val="Aptos Narrow"/>
        <family val="2"/>
        <scheme val="minor"/>
      </rPr>
      <t>IOC</t>
    </r>
    <r>
      <rPr>
        <sz val="11"/>
        <color theme="1" tint="0.499984740745262"/>
        <rFont val="Aptos Narrow"/>
        <family val="2"/>
        <scheme val="minor"/>
      </rPr>
      <t xml:space="preserve"> a cada 4 horas e recomenda o uso de capa térmica, pois seu uso irá reduzir o custo de energia.
Os manuais e guias das bombas de calor </t>
    </r>
    <r>
      <rPr>
        <b/>
        <sz val="11"/>
        <color theme="1" tint="0.499984740745262"/>
        <rFont val="Aptos Narrow"/>
        <family val="2"/>
        <scheme val="minor"/>
      </rPr>
      <t>EMMETI</t>
    </r>
    <r>
      <rPr>
        <sz val="11"/>
        <color theme="1" tint="0.499984740745262"/>
        <rFont val="Aptos Narrow"/>
        <family val="2"/>
        <scheme val="minor"/>
      </rPr>
      <t xml:space="preserve"> estão disponíveis para download no nosso site: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</si>
</sst>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4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b/>
      <i/>
      <sz val="11"/>
      <color theme="1" tint="0.499984740745262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9"/>
      <color theme="1" tint="0.499984740745262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 tint="0.499984740745262"/>
      <name val="Aptos Narrow"/>
      <family val="2"/>
      <scheme val="minor"/>
    </font>
    <font>
      <b/>
      <sz val="18"/>
      <color theme="1" tint="0.499984740745262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9"/>
      <color indexed="81"/>
      <name val="Segoe UI"/>
      <family val="2"/>
    </font>
    <font>
      <b/>
      <sz val="11"/>
      <color rgb="FF00B05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u/>
      <sz val="11"/>
      <color theme="1" tint="0.49998474074526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i/>
      <sz val="9"/>
      <color rgb="FFC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dotted">
        <color theme="1" tint="0.499984740745262"/>
      </right>
      <top style="dotted">
        <color theme="1" tint="0.499984740745262"/>
      </top>
      <bottom/>
      <diagonal/>
    </border>
    <border>
      <left/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1" tint="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44" fontId="24" fillId="0" borderId="0" applyFont="0" applyFill="0" applyBorder="0" applyAlignment="0" applyProtection="0"/>
  </cellStyleXfs>
  <cellXfs count="14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5" xfId="0" applyBorder="1"/>
    <xf numFmtId="0" fontId="0" fillId="0" borderId="4" xfId="0" applyBorder="1"/>
    <xf numFmtId="2" fontId="1" fillId="2" borderId="0" xfId="0" applyNumberFormat="1" applyFont="1" applyFill="1"/>
    <xf numFmtId="1" fontId="10" fillId="0" borderId="0" xfId="0" applyNumberFormat="1" applyFont="1"/>
    <xf numFmtId="0" fontId="10" fillId="0" borderId="0" xfId="0" applyFont="1"/>
    <xf numFmtId="0" fontId="0" fillId="0" borderId="7" xfId="0" applyBorder="1"/>
    <xf numFmtId="0" fontId="0" fillId="0" borderId="8" xfId="0" applyBorder="1"/>
    <xf numFmtId="0" fontId="0" fillId="4" borderId="10" xfId="0" applyFill="1" applyBorder="1"/>
    <xf numFmtId="0" fontId="0" fillId="4" borderId="0" xfId="0" applyFill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center"/>
    </xf>
    <xf numFmtId="0" fontId="6" fillId="0" borderId="8" xfId="0" applyFont="1" applyBorder="1"/>
    <xf numFmtId="0" fontId="15" fillId="0" borderId="0" xfId="0" applyFont="1" applyAlignment="1">
      <alignment horizontal="right"/>
    </xf>
    <xf numFmtId="0" fontId="7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23" fillId="0" borderId="0" xfId="0" applyFont="1"/>
    <xf numFmtId="0" fontId="21" fillId="0" borderId="0" xfId="0" applyFont="1"/>
    <xf numFmtId="0" fontId="5" fillId="5" borderId="9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0" xfId="0" applyFont="1" applyFill="1"/>
    <xf numFmtId="0" fontId="5" fillId="5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4" fontId="0" fillId="7" borderId="7" xfId="2" applyFont="1" applyFill="1" applyBorder="1"/>
    <xf numFmtId="0" fontId="5" fillId="6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23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5" fillId="8" borderId="22" xfId="0" applyFont="1" applyFill="1" applyBorder="1" applyAlignment="1">
      <alignment horizontal="center"/>
    </xf>
    <xf numFmtId="0" fontId="5" fillId="8" borderId="24" xfId="0" applyFont="1" applyFill="1" applyBorder="1" applyAlignment="1">
      <alignment horizontal="center"/>
    </xf>
    <xf numFmtId="0" fontId="5" fillId="8" borderId="26" xfId="0" applyFont="1" applyFill="1" applyBorder="1" applyAlignment="1">
      <alignment horizontal="center"/>
    </xf>
    <xf numFmtId="0" fontId="1" fillId="0" borderId="0" xfId="0" applyFont="1"/>
    <xf numFmtId="0" fontId="29" fillId="8" borderId="0" xfId="0" applyFont="1" applyFill="1" applyAlignment="1">
      <alignment horizontal="center"/>
    </xf>
    <xf numFmtId="0" fontId="0" fillId="8" borderId="0" xfId="0" applyFill="1"/>
    <xf numFmtId="0" fontId="7" fillId="8" borderId="1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0" borderId="0" xfId="0" applyFont="1"/>
    <xf numFmtId="0" fontId="0" fillId="2" borderId="0" xfId="0" applyFill="1"/>
    <xf numFmtId="14" fontId="0" fillId="0" borderId="0" xfId="0" applyNumberFormat="1"/>
    <xf numFmtId="14" fontId="30" fillId="0" borderId="0" xfId="0" applyNumberFormat="1" applyFont="1"/>
    <xf numFmtId="2" fontId="0" fillId="0" borderId="7" xfId="0" applyNumberFormat="1" applyBorder="1"/>
    <xf numFmtId="0" fontId="5" fillId="5" borderId="22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/>
    <xf numFmtId="44" fontId="0" fillId="0" borderId="8" xfId="0" applyNumberFormat="1" applyBorder="1"/>
    <xf numFmtId="0" fontId="3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2" fontId="7" fillId="0" borderId="19" xfId="0" applyNumberFormat="1" applyFont="1" applyBorder="1"/>
    <xf numFmtId="0" fontId="0" fillId="0" borderId="19" xfId="0" applyBorder="1"/>
    <xf numFmtId="0" fontId="0" fillId="0" borderId="20" xfId="0" applyBorder="1"/>
    <xf numFmtId="0" fontId="0" fillId="0" borderId="11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5" fillId="5" borderId="24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11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9" fillId="3" borderId="0" xfId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9" fillId="3" borderId="15" xfId="1" applyFont="1" applyFill="1" applyBorder="1" applyAlignment="1" applyProtection="1">
      <alignment horizontal="center" vertical="center"/>
      <protection locked="0"/>
    </xf>
    <xf numFmtId="0" fontId="19" fillId="3" borderId="16" xfId="1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8" fillId="3" borderId="0" xfId="1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27" fillId="5" borderId="0" xfId="0" applyFont="1" applyFill="1" applyAlignment="1" applyProtection="1">
      <alignment horizontal="center" vertical="center"/>
      <protection locked="0"/>
    </xf>
    <xf numFmtId="0" fontId="5" fillId="5" borderId="17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18" fillId="3" borderId="0" xfId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27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44" fontId="1" fillId="5" borderId="14" xfId="2" applyFont="1" applyFill="1" applyBorder="1" applyAlignment="1">
      <alignment horizontal="center"/>
    </xf>
    <xf numFmtId="44" fontId="1" fillId="2" borderId="14" xfId="2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vertical="center"/>
    </xf>
    <xf numFmtId="0" fontId="18" fillId="3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top"/>
    </xf>
    <xf numFmtId="0" fontId="33" fillId="0" borderId="0" xfId="0" applyFont="1" applyAlignment="1">
      <alignment horizontal="center"/>
    </xf>
    <xf numFmtId="44" fontId="7" fillId="8" borderId="2" xfId="2" applyFont="1" applyFill="1" applyBorder="1" applyAlignment="1">
      <alignment horizontal="center"/>
    </xf>
    <xf numFmtId="44" fontId="5" fillId="2" borderId="16" xfId="2" applyFont="1" applyFill="1" applyBorder="1" applyAlignment="1">
      <alignment horizontal="center"/>
    </xf>
    <xf numFmtId="44" fontId="5" fillId="2" borderId="0" xfId="2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44" fontId="7" fillId="0" borderId="19" xfId="2" applyFont="1" applyBorder="1" applyAlignment="1" applyProtection="1">
      <alignment horizontal="center"/>
      <protection locked="0"/>
    </xf>
    <xf numFmtId="44" fontId="7" fillId="0" borderId="30" xfId="2" applyFont="1" applyBorder="1" applyAlignment="1" applyProtection="1">
      <alignment horizontal="center"/>
      <protection locked="0"/>
    </xf>
    <xf numFmtId="44" fontId="7" fillId="0" borderId="20" xfId="2" applyFont="1" applyBorder="1" applyAlignment="1" applyProtection="1">
      <alignment horizontal="center"/>
      <protection locked="0"/>
    </xf>
    <xf numFmtId="0" fontId="5" fillId="5" borderId="27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8" borderId="0" xfId="0" applyFont="1" applyFill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29" fillId="8" borderId="1" xfId="0" applyFont="1" applyFill="1" applyBorder="1" applyAlignment="1">
      <alignment horizontal="center"/>
    </xf>
    <xf numFmtId="0" fontId="29" fillId="8" borderId="2" xfId="0" applyFont="1" applyFill="1" applyBorder="1" applyAlignment="1">
      <alignment horizontal="center"/>
    </xf>
    <xf numFmtId="0" fontId="29" fillId="8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6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https://www.emmeti.com.br/pdf/catalogos/folder-bomba-de-calor-para-piscinas.pdf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emf"/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2" Type="http://schemas.openxmlformats.org/officeDocument/2006/relationships/image" Target="../media/image7.emf"/><Relationship Id="rId1" Type="http://schemas.openxmlformats.org/officeDocument/2006/relationships/image" Target="../media/image2.png"/><Relationship Id="rId6" Type="http://schemas.openxmlformats.org/officeDocument/2006/relationships/image" Target="../media/image11.emf"/><Relationship Id="rId5" Type="http://schemas.openxmlformats.org/officeDocument/2006/relationships/image" Target="../media/image10.emf"/><Relationship Id="rId4" Type="http://schemas.openxmlformats.org/officeDocument/2006/relationships/image" Target="../media/image9.emf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23.png"/><Relationship Id="rId7" Type="http://schemas.openxmlformats.org/officeDocument/2006/relationships/image" Target="../media/image3.jpe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.png"/><Relationship Id="rId11" Type="http://schemas.openxmlformats.org/officeDocument/2006/relationships/image" Target="../media/image28.png"/><Relationship Id="rId5" Type="http://schemas.openxmlformats.org/officeDocument/2006/relationships/image" Target="../media/image1.png"/><Relationship Id="rId10" Type="http://schemas.openxmlformats.org/officeDocument/2006/relationships/image" Target="../media/image27.png"/><Relationship Id="rId4" Type="http://schemas.openxmlformats.org/officeDocument/2006/relationships/image" Target="../media/image24.png"/><Relationship Id="rId9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29.jpeg"/><Relationship Id="rId6" Type="http://schemas.openxmlformats.org/officeDocument/2006/relationships/image" Target="../media/image30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7" Type="http://schemas.openxmlformats.org/officeDocument/2006/relationships/image" Target="../media/image20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6" Type="http://schemas.openxmlformats.org/officeDocument/2006/relationships/image" Target="../media/image19.emf"/><Relationship Id="rId5" Type="http://schemas.openxmlformats.org/officeDocument/2006/relationships/image" Target="../media/image18.emf"/><Relationship Id="rId4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</xdr:colOff>
      <xdr:row>2</xdr:row>
      <xdr:rowOff>118109</xdr:rowOff>
    </xdr:from>
    <xdr:to>
      <xdr:col>11</xdr:col>
      <xdr:colOff>15240</xdr:colOff>
      <xdr:row>14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9034FF-AB70-49FA-EEFB-D728D100CC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388" b="18789"/>
        <a:stretch>
          <a:fillRect/>
        </a:stretch>
      </xdr:blipFill>
      <xdr:spPr>
        <a:xfrm>
          <a:off x="636270" y="480059"/>
          <a:ext cx="6088380" cy="2145031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16</xdr:row>
      <xdr:rowOff>173355</xdr:rowOff>
    </xdr:from>
    <xdr:to>
      <xdr:col>2</xdr:col>
      <xdr:colOff>397785</xdr:colOff>
      <xdr:row>19</xdr:row>
      <xdr:rowOff>19185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EFE91FC-4048-EA69-8164-AA50F0C442D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 flipH="1">
          <a:off x="1590675" y="3973830"/>
          <a:ext cx="22500" cy="38494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188595</xdr:colOff>
      <xdr:row>2</xdr:row>
      <xdr:rowOff>155135</xdr:rowOff>
    </xdr:from>
    <xdr:to>
      <xdr:col>21</xdr:col>
      <xdr:colOff>548640</xdr:colOff>
      <xdr:row>16</xdr:row>
      <xdr:rowOff>20956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E17D702-1A7C-0E3E-14F0-6A3BB611E3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51" b="17489"/>
        <a:stretch>
          <a:fillRect/>
        </a:stretch>
      </xdr:blipFill>
      <xdr:spPr bwMode="auto">
        <a:xfrm>
          <a:off x="9942195" y="517085"/>
          <a:ext cx="3400425" cy="24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255269</xdr:colOff>
      <xdr:row>17</xdr:row>
      <xdr:rowOff>17145</xdr:rowOff>
    </xdr:from>
    <xdr:to>
      <xdr:col>22</xdr:col>
      <xdr:colOff>468629</xdr:colOff>
      <xdr:row>19</xdr:row>
      <xdr:rowOff>19274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4B17EB5C-9B75-4918-B4BF-D8728BF561B8}"/>
            </a:ext>
          </a:extLst>
        </xdr:cNvPr>
        <xdr:cNvSpPr/>
      </xdr:nvSpPr>
      <xdr:spPr>
        <a:xfrm>
          <a:off x="9399269" y="4360545"/>
          <a:ext cx="4480560" cy="364079"/>
        </a:xfrm>
        <a:prstGeom prst="rect">
          <a:avLst/>
        </a:prstGeom>
        <a:solidFill>
          <a:schemeClr val="bg2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tx1">
                  <a:lumMod val="50000"/>
                  <a:lumOff val="50000"/>
                </a:schemeClr>
              </a:solidFill>
            </a:rPr>
            <a:t>BOMBA DE CALOR INVERTER  - Linha Heating Pool Emmeti</a:t>
          </a:r>
        </a:p>
      </xdr:txBody>
    </xdr:sp>
    <xdr:clientData/>
  </xdr:twoCellAnchor>
  <xdr:oneCellAnchor>
    <xdr:from>
      <xdr:col>10</xdr:col>
      <xdr:colOff>266700</xdr:colOff>
      <xdr:row>36</xdr:row>
      <xdr:rowOff>144780</xdr:rowOff>
    </xdr:from>
    <xdr:ext cx="4961999" cy="264560"/>
    <xdr:sp macro="" textlink="">
      <xdr:nvSpPr>
        <xdr:cNvPr id="6" name="CaixaDeText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F1B273-C469-34F5-94F6-EA74D2A1DF15}"/>
            </a:ext>
          </a:extLst>
        </xdr:cNvPr>
        <xdr:cNvSpPr txBox="1"/>
      </xdr:nvSpPr>
      <xdr:spPr>
        <a:xfrm>
          <a:off x="6362700" y="6659880"/>
          <a:ext cx="4961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solidFill>
                <a:srgbClr val="0070C0"/>
              </a:solidFill>
            </a:rPr>
            <a:t>https://www.emmeti.com.br/pdf/catalogos/folder-bomba-de-calor-para-piscinas.pdf</a:t>
          </a:r>
        </a:p>
      </xdr:txBody>
    </xdr:sp>
    <xdr:clientData/>
  </xdr:oneCellAnchor>
  <xdr:oneCellAnchor>
    <xdr:from>
      <xdr:col>25</xdr:col>
      <xdr:colOff>374491</xdr:colOff>
      <xdr:row>0</xdr:row>
      <xdr:rowOff>1</xdr:rowOff>
    </xdr:from>
    <xdr:ext cx="233205" cy="3514724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B0928036-E445-8218-5303-8C749CADCF42}"/>
            </a:ext>
          </a:extLst>
        </xdr:cNvPr>
        <xdr:cNvSpPr txBox="1"/>
      </xdr:nvSpPr>
      <xdr:spPr>
        <a:xfrm rot="16200000">
          <a:off x="13973732" y="1640760"/>
          <a:ext cx="35147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900">
              <a:solidFill>
                <a:schemeClr val="tx1">
                  <a:lumMod val="50000"/>
                  <a:lumOff val="50000"/>
                </a:schemeClr>
              </a:solidFill>
            </a:rPr>
            <a:t>Desenvolvido pelo Departamento de</a:t>
          </a:r>
          <a:r>
            <a:rPr lang="pt-BR" sz="900" baseline="0">
              <a:solidFill>
                <a:schemeClr val="tx1">
                  <a:lumMod val="50000"/>
                  <a:lumOff val="50000"/>
                </a:schemeClr>
              </a:solidFill>
            </a:rPr>
            <a:t> Engenharia - EMMETI BRASIL - 2025</a:t>
          </a:r>
          <a:endParaRPr lang="pt-BR" sz="9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210502</xdr:colOff>
      <xdr:row>4</xdr:row>
      <xdr:rowOff>20499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A2288D9-D910-4880-B5B0-69EAA9554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9218" cy="826314"/>
        </a:xfrm>
        <a:prstGeom prst="rect">
          <a:avLst/>
        </a:prstGeom>
      </xdr:spPr>
    </xdr:pic>
    <xdr:clientData/>
  </xdr:twoCellAnchor>
  <xdr:twoCellAnchor editAs="oneCell">
    <xdr:from>
      <xdr:col>1</xdr:col>
      <xdr:colOff>935354</xdr:colOff>
      <xdr:row>4</xdr:row>
      <xdr:rowOff>17145</xdr:rowOff>
    </xdr:from>
    <xdr:to>
      <xdr:col>1</xdr:col>
      <xdr:colOff>1006685</xdr:colOff>
      <xdr:row>7</xdr:row>
      <xdr:rowOff>151187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4B72F4-0607-4FC7-B738-7F5CDD56A14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 flipH="1">
          <a:off x="2135504" y="741045"/>
          <a:ext cx="74295" cy="67696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867253</xdr:colOff>
      <xdr:row>31</xdr:row>
      <xdr:rowOff>57784</xdr:rowOff>
    </xdr:from>
    <xdr:to>
      <xdr:col>3</xdr:col>
      <xdr:colOff>893563</xdr:colOff>
      <xdr:row>33</xdr:row>
      <xdr:rowOff>35694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69FFB0D6-EACC-46D2-ADF3-50919E1000BB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 flipH="1">
          <a:off x="4328003" y="5762201"/>
          <a:ext cx="26310" cy="35891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143937</xdr:colOff>
      <xdr:row>28</xdr:row>
      <xdr:rowOff>150071</xdr:rowOff>
    </xdr:from>
    <xdr:to>
      <xdr:col>5</xdr:col>
      <xdr:colOff>404921</xdr:colOff>
      <xdr:row>30</xdr:row>
      <xdr:rowOff>95571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868CD748-C80C-4006-A91C-13AC5167FA54}"/>
            </a:ext>
          </a:extLst>
        </xdr:cNvPr>
        <xdr:cNvSpPr/>
      </xdr:nvSpPr>
      <xdr:spPr>
        <a:xfrm>
          <a:off x="3604687" y="5314738"/>
          <a:ext cx="2568151" cy="305333"/>
        </a:xfrm>
        <a:prstGeom prst="rect">
          <a:avLst/>
        </a:prstGeom>
        <a:solidFill>
          <a:srgbClr val="0070C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VOLUME</a:t>
          </a:r>
        </a:p>
      </xdr:txBody>
    </xdr:sp>
    <xdr:clientData/>
  </xdr:twoCellAnchor>
  <xdr:oneCellAnchor>
    <xdr:from>
      <xdr:col>9</xdr:col>
      <xdr:colOff>801959</xdr:colOff>
      <xdr:row>31</xdr:row>
      <xdr:rowOff>56938</xdr:rowOff>
    </xdr:from>
    <xdr:ext cx="56790" cy="385617"/>
    <xdr:pic>
      <xdr:nvPicPr>
        <xdr:cNvPr id="15" name="Imagem 14">
          <a:extLst>
            <a:ext uri="{FF2B5EF4-FFF2-40B4-BE49-F238E27FC236}">
              <a16:creationId xmlns:a16="http://schemas.microsoft.com/office/drawing/2014/main" id="{8CE03B21-336F-4FC6-8C9C-F43545BC305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 flipH="1">
          <a:off x="11184209" y="5761355"/>
          <a:ext cx="56790" cy="385617"/>
        </a:xfrm>
        <a:prstGeom prst="rect">
          <a:avLst/>
        </a:prstGeom>
        <a:ln w="0">
          <a:noFill/>
        </a:ln>
      </xdr:spPr>
    </xdr:pic>
    <xdr:clientData/>
  </xdr:oneCellAnchor>
  <xdr:twoCellAnchor>
    <xdr:from>
      <xdr:col>9</xdr:col>
      <xdr:colOff>114597</xdr:colOff>
      <xdr:row>28</xdr:row>
      <xdr:rowOff>172259</xdr:rowOff>
    </xdr:from>
    <xdr:to>
      <xdr:col>11</xdr:col>
      <xdr:colOff>110685</xdr:colOff>
      <xdr:row>30</xdr:row>
      <xdr:rowOff>98045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4BF64031-472C-446A-9648-946CCB44FAFA}"/>
            </a:ext>
          </a:extLst>
        </xdr:cNvPr>
        <xdr:cNvSpPr/>
      </xdr:nvSpPr>
      <xdr:spPr>
        <a:xfrm>
          <a:off x="10496847" y="5336926"/>
          <a:ext cx="2303255" cy="285619"/>
        </a:xfrm>
        <a:prstGeom prst="rect">
          <a:avLst/>
        </a:prstGeom>
        <a:solidFill>
          <a:srgbClr val="0070C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DIFERENÇA</a:t>
          </a:r>
        </a:p>
      </xdr:txBody>
    </xdr:sp>
    <xdr:clientData/>
  </xdr:twoCellAnchor>
  <xdr:oneCellAnchor>
    <xdr:from>
      <xdr:col>7</xdr:col>
      <xdr:colOff>211877</xdr:colOff>
      <xdr:row>4</xdr:row>
      <xdr:rowOff>20955</xdr:rowOff>
    </xdr:from>
    <xdr:ext cx="70710" cy="668115"/>
    <xdr:pic>
      <xdr:nvPicPr>
        <xdr:cNvPr id="21" name="Imagem 20">
          <a:extLst>
            <a:ext uri="{FF2B5EF4-FFF2-40B4-BE49-F238E27FC236}">
              <a16:creationId xmlns:a16="http://schemas.microsoft.com/office/drawing/2014/main" id="{EAD7F946-D3F4-4169-9869-179F590E735B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 flipH="1">
          <a:off x="9440544" y="846455"/>
          <a:ext cx="70710" cy="66811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13</xdr:col>
      <xdr:colOff>167551</xdr:colOff>
      <xdr:row>4</xdr:row>
      <xdr:rowOff>20955</xdr:rowOff>
    </xdr:from>
    <xdr:ext cx="70710" cy="668115"/>
    <xdr:pic>
      <xdr:nvPicPr>
        <xdr:cNvPr id="27" name="Imagem 26">
          <a:extLst>
            <a:ext uri="{FF2B5EF4-FFF2-40B4-BE49-F238E27FC236}">
              <a16:creationId xmlns:a16="http://schemas.microsoft.com/office/drawing/2014/main" id="{D135BE6F-488A-48AB-B7EF-22FCB974DAB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 flipH="1">
          <a:off x="15164134" y="846455"/>
          <a:ext cx="70710" cy="668115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12</xdr:row>
      <xdr:rowOff>133350</xdr:rowOff>
    </xdr:to>
    <xdr:sp macro="" textlink="">
      <xdr:nvSpPr>
        <xdr:cNvPr id="3075" name="AutoShape 3" descr="Imagem de ">
          <a:extLst>
            <a:ext uri="{FF2B5EF4-FFF2-40B4-BE49-F238E27FC236}">
              <a16:creationId xmlns:a16="http://schemas.microsoft.com/office/drawing/2014/main" id="{19BCF364-1544-F5E8-070A-C4067F30A9DF}"/>
            </a:ext>
          </a:extLst>
        </xdr:cNvPr>
        <xdr:cNvSpPr>
          <a:spLocks noChangeAspect="1" noChangeArrowheads="1"/>
        </xdr:cNvSpPr>
      </xdr:nvSpPr>
      <xdr:spPr bwMode="auto">
        <a:xfrm>
          <a:off x="14950440" y="201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247080</xdr:colOff>
      <xdr:row>8</xdr:row>
      <xdr:rowOff>113965</xdr:rowOff>
    </xdr:from>
    <xdr:to>
      <xdr:col>15</xdr:col>
      <xdr:colOff>324581</xdr:colOff>
      <xdr:row>21</xdr:row>
      <xdr:rowOff>74010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4D6DF56-34E0-C7C8-0F5F-A6A51CB6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51756" y="1637965"/>
          <a:ext cx="2385913" cy="2290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8017</xdr:colOff>
      <xdr:row>0</xdr:row>
      <xdr:rowOff>127300</xdr:rowOff>
    </xdr:from>
    <xdr:to>
      <xdr:col>6</xdr:col>
      <xdr:colOff>21167</xdr:colOff>
      <xdr:row>3</xdr:row>
      <xdr:rowOff>28951</xdr:rowOff>
    </xdr:to>
    <xdr:sp macro="" textlink="DADOS!G5">
      <xdr:nvSpPr>
        <xdr:cNvPr id="34" name="Retângulo 33">
          <a:extLst>
            <a:ext uri="{FF2B5EF4-FFF2-40B4-BE49-F238E27FC236}">
              <a16:creationId xmlns:a16="http://schemas.microsoft.com/office/drawing/2014/main" id="{ED124021-E2DD-4CF2-AAA3-B749D13C297D}"/>
            </a:ext>
          </a:extLst>
        </xdr:cNvPr>
        <xdr:cNvSpPr/>
      </xdr:nvSpPr>
      <xdr:spPr>
        <a:xfrm>
          <a:off x="2315184" y="127300"/>
          <a:ext cx="4627483" cy="547234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014477A4-64FD-42EE-9B44-9D247B508FD3}" type="TxLink">
            <a:rPr lang="en-US" sz="1600" b="1" i="0" u="none" strike="noStrike">
              <a:solidFill>
                <a:schemeClr val="bg1"/>
              </a:solidFill>
              <a:latin typeface="Aptos Narrow"/>
            </a:rPr>
            <a:pPr algn="ctr"/>
            <a:t>-</a:t>
          </a:fld>
          <a:endParaRPr 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93222</xdr:colOff>
      <xdr:row>0</xdr:row>
      <xdr:rowOff>130051</xdr:rowOff>
    </xdr:from>
    <xdr:to>
      <xdr:col>12</xdr:col>
      <xdr:colOff>1005417</xdr:colOff>
      <xdr:row>3</xdr:row>
      <xdr:rowOff>47576</xdr:rowOff>
    </xdr:to>
    <xdr:sp macro="" textlink="DADOS!A42">
      <xdr:nvSpPr>
        <xdr:cNvPr id="53" name="Retângulo 52">
          <a:extLst>
            <a:ext uri="{FF2B5EF4-FFF2-40B4-BE49-F238E27FC236}">
              <a16:creationId xmlns:a16="http://schemas.microsoft.com/office/drawing/2014/main" id="{8E3242BD-586A-411B-9324-7EA3ECBD07DD}"/>
            </a:ext>
          </a:extLst>
        </xdr:cNvPr>
        <xdr:cNvSpPr/>
      </xdr:nvSpPr>
      <xdr:spPr>
        <a:xfrm>
          <a:off x="7014722" y="130051"/>
          <a:ext cx="7833695" cy="563108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F50B414-8823-4043-99DA-F7DB85A1F5A0}" type="TxLink">
            <a:rPr lang="en-US" sz="1400" b="1" i="0" u="none" strike="noStrike">
              <a:solidFill>
                <a:schemeClr val="bg1"/>
              </a:solidFill>
              <a:latin typeface="Aptos Narrow"/>
            </a:rPr>
            <a:pPr algn="ctr"/>
            <a:t>-</a:t>
          </a:fld>
          <a:endParaRPr lang="en-US" sz="20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22014</xdr:colOff>
      <xdr:row>31</xdr:row>
      <xdr:rowOff>20321</xdr:rowOff>
    </xdr:from>
    <xdr:to>
      <xdr:col>1</xdr:col>
      <xdr:colOff>244899</xdr:colOff>
      <xdr:row>33</xdr:row>
      <xdr:rowOff>3175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79B83258-46D8-6119-8A6E-003E13F73FAE}"/>
            </a:ext>
          </a:extLst>
        </xdr:cNvPr>
        <xdr:cNvSpPr/>
      </xdr:nvSpPr>
      <xdr:spPr>
        <a:xfrm>
          <a:off x="22014" y="5724738"/>
          <a:ext cx="1418802" cy="342687"/>
        </a:xfrm>
        <a:prstGeom prst="rect">
          <a:avLst/>
        </a:prstGeom>
        <a:solidFill>
          <a:srgbClr val="0070C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ANEXO</a:t>
          </a:r>
        </a:p>
      </xdr:txBody>
    </xdr:sp>
    <xdr:clientData/>
  </xdr:twoCellAnchor>
  <xdr:twoCellAnchor editAs="oneCell">
    <xdr:from>
      <xdr:col>1</xdr:col>
      <xdr:colOff>264583</xdr:colOff>
      <xdr:row>8</xdr:row>
      <xdr:rowOff>0</xdr:rowOff>
    </xdr:from>
    <xdr:to>
      <xdr:col>4</xdr:col>
      <xdr:colOff>321262</xdr:colOff>
      <xdr:row>21</xdr:row>
      <xdr:rowOff>20109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49EF86AE-A351-EEFA-A1D5-848C58D0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8166" y="1545167"/>
          <a:ext cx="3509809" cy="23552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9740</xdr:rowOff>
    </xdr:from>
    <xdr:to>
      <xdr:col>1</xdr:col>
      <xdr:colOff>247650</xdr:colOff>
      <xdr:row>24</xdr:row>
      <xdr:rowOff>214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7D7BB3B9-795E-ED03-8134-F32807658502}"/>
            </a:ext>
          </a:extLst>
        </xdr:cNvPr>
        <xdr:cNvSpPr/>
      </xdr:nvSpPr>
      <xdr:spPr>
        <a:xfrm>
          <a:off x="0" y="4073740"/>
          <a:ext cx="1443567" cy="350307"/>
        </a:xfrm>
        <a:prstGeom prst="rect">
          <a:avLst/>
        </a:prstGeom>
        <a:solidFill>
          <a:srgbClr val="0070C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PISCINA</a:t>
          </a:r>
        </a:p>
      </xdr:txBody>
    </xdr:sp>
    <xdr:clientData/>
  </xdr:twoCellAnchor>
  <xdr:twoCellAnchor editAs="oneCell">
    <xdr:from>
      <xdr:col>7</xdr:col>
      <xdr:colOff>324971</xdr:colOff>
      <xdr:row>8</xdr:row>
      <xdr:rowOff>31842</xdr:rowOff>
    </xdr:from>
    <xdr:to>
      <xdr:col>8</xdr:col>
      <xdr:colOff>740006</xdr:colOff>
      <xdr:row>21</xdr:row>
      <xdr:rowOff>22226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8F6F61-3A7B-1A7E-C84D-D9ED30379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04412" y="1555842"/>
          <a:ext cx="1569241" cy="2321208"/>
        </a:xfrm>
        <a:prstGeom prst="rect">
          <a:avLst/>
        </a:prstGeom>
      </xdr:spPr>
    </xdr:pic>
    <xdr:clientData/>
  </xdr:twoCellAnchor>
  <xdr:twoCellAnchor>
    <xdr:from>
      <xdr:col>6</xdr:col>
      <xdr:colOff>3810</xdr:colOff>
      <xdr:row>22</xdr:row>
      <xdr:rowOff>15455</xdr:rowOff>
    </xdr:from>
    <xdr:to>
      <xdr:col>7</xdr:col>
      <xdr:colOff>241934</xdr:colOff>
      <xdr:row>24</xdr:row>
      <xdr:rowOff>214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20371D1-3F72-67F8-45F8-B4411E0A4E90}"/>
            </a:ext>
          </a:extLst>
        </xdr:cNvPr>
        <xdr:cNvSpPr/>
      </xdr:nvSpPr>
      <xdr:spPr>
        <a:xfrm>
          <a:off x="8078893" y="4079455"/>
          <a:ext cx="1391708" cy="344592"/>
        </a:xfrm>
        <a:prstGeom prst="rect">
          <a:avLst/>
        </a:prstGeom>
        <a:solidFill>
          <a:srgbClr val="0070C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PISCINA</a:t>
          </a:r>
        </a:p>
      </xdr:txBody>
    </xdr:sp>
    <xdr:clientData/>
  </xdr:twoCellAnchor>
  <xdr:twoCellAnchor>
    <xdr:from>
      <xdr:col>6</xdr:col>
      <xdr:colOff>0</xdr:colOff>
      <xdr:row>31</xdr:row>
      <xdr:rowOff>16511</xdr:rowOff>
    </xdr:from>
    <xdr:to>
      <xdr:col>7</xdr:col>
      <xdr:colOff>216958</xdr:colOff>
      <xdr:row>33</xdr:row>
      <xdr:rowOff>3175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C1A9F874-50CC-62EF-7AB4-7E00D8CFA48F}"/>
            </a:ext>
          </a:extLst>
        </xdr:cNvPr>
        <xdr:cNvSpPr/>
      </xdr:nvSpPr>
      <xdr:spPr>
        <a:xfrm>
          <a:off x="8061537" y="5720928"/>
          <a:ext cx="1384088" cy="346497"/>
        </a:xfrm>
        <a:prstGeom prst="rect">
          <a:avLst/>
        </a:prstGeom>
        <a:solidFill>
          <a:srgbClr val="0070C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AMBIENTE</a:t>
          </a:r>
        </a:p>
      </xdr:txBody>
    </xdr:sp>
    <xdr:clientData/>
  </xdr:twoCellAnchor>
  <xdr:twoCellAnchor>
    <xdr:from>
      <xdr:col>11</xdr:col>
      <xdr:colOff>1138131</xdr:colOff>
      <xdr:row>22</xdr:row>
      <xdr:rowOff>19265</xdr:rowOff>
    </xdr:from>
    <xdr:to>
      <xdr:col>13</xdr:col>
      <xdr:colOff>224577</xdr:colOff>
      <xdr:row>24</xdr:row>
      <xdr:rowOff>214</xdr:rowOff>
    </xdr:to>
    <xdr:sp macro="" textlink="">
      <xdr:nvSpPr>
        <xdr:cNvPr id="19" name="Retângulo 18">
          <a:extLst>
            <a:ext uri="{FF2B5EF4-FFF2-40B4-BE49-F238E27FC236}">
              <a16:creationId xmlns:a16="http://schemas.microsoft.com/office/drawing/2014/main" id="{176E4303-4311-D0AC-1217-839697CF5E8F}"/>
            </a:ext>
          </a:extLst>
        </xdr:cNvPr>
        <xdr:cNvSpPr/>
      </xdr:nvSpPr>
      <xdr:spPr>
        <a:xfrm>
          <a:off x="13827548" y="4083265"/>
          <a:ext cx="1393612" cy="340782"/>
        </a:xfrm>
        <a:prstGeom prst="rect">
          <a:avLst/>
        </a:prstGeom>
        <a:solidFill>
          <a:srgbClr val="0070C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PISCINA</a:t>
          </a:r>
        </a:p>
      </xdr:txBody>
    </xdr:sp>
    <xdr:clientData/>
  </xdr:twoCellAnchor>
  <xdr:twoCellAnchor>
    <xdr:from>
      <xdr:col>12</xdr:col>
      <xdr:colOff>0</xdr:colOff>
      <xdr:row>34</xdr:row>
      <xdr:rowOff>34080</xdr:rowOff>
    </xdr:from>
    <xdr:to>
      <xdr:col>13</xdr:col>
      <xdr:colOff>213148</xdr:colOff>
      <xdr:row>36</xdr:row>
      <xdr:rowOff>38100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05FEB1EE-EE94-1DBE-5D27-5B1022C49FC6}"/>
            </a:ext>
          </a:extLst>
        </xdr:cNvPr>
        <xdr:cNvSpPr/>
      </xdr:nvSpPr>
      <xdr:spPr>
        <a:xfrm>
          <a:off x="13843000" y="6299413"/>
          <a:ext cx="1366731" cy="363854"/>
        </a:xfrm>
        <a:prstGeom prst="rect">
          <a:avLst/>
        </a:prstGeom>
        <a:solidFill>
          <a:srgbClr val="0070C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AMBIENTE</a:t>
          </a:r>
        </a:p>
      </xdr:txBody>
    </xdr:sp>
    <xdr:clientData/>
  </xdr:twoCellAnchor>
  <xdr:twoCellAnchor>
    <xdr:from>
      <xdr:col>3</xdr:col>
      <xdr:colOff>964296</xdr:colOff>
      <xdr:row>31</xdr:row>
      <xdr:rowOff>57173</xdr:rowOff>
    </xdr:from>
    <xdr:to>
      <xdr:col>5</xdr:col>
      <xdr:colOff>105653</xdr:colOff>
      <xdr:row>33</xdr:row>
      <xdr:rowOff>91850</xdr:rowOff>
    </xdr:to>
    <xdr:sp macro="" textlink="DADOS!B5">
      <xdr:nvSpPr>
        <xdr:cNvPr id="35" name="Retângulo 34">
          <a:extLst>
            <a:ext uri="{FF2B5EF4-FFF2-40B4-BE49-F238E27FC236}">
              <a16:creationId xmlns:a16="http://schemas.microsoft.com/office/drawing/2014/main" id="{370B066F-11CD-C864-CCDF-6ABF250E1E7D}"/>
            </a:ext>
          </a:extLst>
        </xdr:cNvPr>
        <xdr:cNvSpPr/>
      </xdr:nvSpPr>
      <xdr:spPr>
        <a:xfrm>
          <a:off x="4425046" y="5761590"/>
          <a:ext cx="1448524" cy="3945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8F5B05E6-7713-45B3-86A8-DA2F26E6AB7B}" type="TxLink">
            <a:rPr lang="en-US" sz="1600" b="1" i="0" u="none" strike="noStrike">
              <a:solidFill>
                <a:srgbClr val="0070C0"/>
              </a:solidFill>
              <a:latin typeface="Aptos Narrow"/>
            </a:rPr>
            <a:pPr algn="ctr"/>
            <a:t>0M³</a:t>
          </a:fld>
          <a:endParaRPr lang="pt-BR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822231</xdr:colOff>
      <xdr:row>31</xdr:row>
      <xdr:rowOff>53799</xdr:rowOff>
    </xdr:from>
    <xdr:to>
      <xdr:col>10</xdr:col>
      <xdr:colOff>1141936</xdr:colOff>
      <xdr:row>33</xdr:row>
      <xdr:rowOff>92286</xdr:rowOff>
    </xdr:to>
    <xdr:sp macro="" textlink="DADOS!B23">
      <xdr:nvSpPr>
        <xdr:cNvPr id="36" name="Retângulo 35">
          <a:extLst>
            <a:ext uri="{FF2B5EF4-FFF2-40B4-BE49-F238E27FC236}">
              <a16:creationId xmlns:a16="http://schemas.microsoft.com/office/drawing/2014/main" id="{FEF062E5-165E-9709-8CF6-DC59F3078558}"/>
            </a:ext>
          </a:extLst>
        </xdr:cNvPr>
        <xdr:cNvSpPr/>
      </xdr:nvSpPr>
      <xdr:spPr>
        <a:xfrm>
          <a:off x="11204481" y="5758216"/>
          <a:ext cx="1473288" cy="39832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2C97575-8A30-4E66-9CEB-C419AF24016B}" type="TxLink">
            <a:rPr lang="en-US" sz="1600" b="1" i="0" u="none" strike="noStrike">
              <a:solidFill>
                <a:srgbClr val="0070C0"/>
              </a:solidFill>
              <a:latin typeface="Aptos Narrow"/>
            </a:rPr>
            <a:pPr algn="ctr"/>
            <a:t>0°C</a:t>
          </a:fld>
          <a:endParaRPr lang="pt-BR" sz="2400" b="1">
            <a:solidFill>
              <a:srgbClr val="0070C0"/>
            </a:solidFill>
          </a:endParaRPr>
        </a:p>
      </xdr:txBody>
    </xdr:sp>
    <xdr:clientData/>
  </xdr:twoCellAnchor>
  <xdr:twoCellAnchor>
    <xdr:from>
      <xdr:col>3</xdr:col>
      <xdr:colOff>136317</xdr:colOff>
      <xdr:row>34</xdr:row>
      <xdr:rowOff>26805</xdr:rowOff>
    </xdr:from>
    <xdr:to>
      <xdr:col>5</xdr:col>
      <xdr:colOff>401111</xdr:colOff>
      <xdr:row>35</xdr:row>
      <xdr:rowOff>147789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2446C602-7963-E369-6921-87F7613ED7A1}"/>
            </a:ext>
          </a:extLst>
        </xdr:cNvPr>
        <xdr:cNvSpPr/>
      </xdr:nvSpPr>
      <xdr:spPr>
        <a:xfrm>
          <a:off x="3598935" y="6257276"/>
          <a:ext cx="2573205" cy="300278"/>
        </a:xfrm>
        <a:prstGeom prst="rect">
          <a:avLst/>
        </a:prstGeom>
        <a:solidFill>
          <a:srgbClr val="00B05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INSERIR VOLUME MANUALMENTE (L)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935354</xdr:colOff>
      <xdr:row>4</xdr:row>
      <xdr:rowOff>0</xdr:rowOff>
    </xdr:from>
    <xdr:to>
      <xdr:col>1</xdr:col>
      <xdr:colOff>1006064</xdr:colOff>
      <xdr:row>7</xdr:row>
      <xdr:rowOff>134042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FB7BB90-29B9-444C-8574-750A3021BC3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flipH="1">
          <a:off x="2131694" y="840105"/>
          <a:ext cx="68580" cy="67315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23</xdr:col>
      <xdr:colOff>0</xdr:colOff>
      <xdr:row>4</xdr:row>
      <xdr:rowOff>0</xdr:rowOff>
    </xdr:from>
    <xdr:to>
      <xdr:col>16384</xdr:col>
      <xdr:colOff>304800</xdr:colOff>
      <xdr:row>5</xdr:row>
      <xdr:rowOff>133349</xdr:rowOff>
    </xdr:to>
    <xdr:sp macro="" textlink="">
      <xdr:nvSpPr>
        <xdr:cNvPr id="17" name="AutoShape 3" descr="Imagem de ">
          <a:extLst>
            <a:ext uri="{FF2B5EF4-FFF2-40B4-BE49-F238E27FC236}">
              <a16:creationId xmlns:a16="http://schemas.microsoft.com/office/drawing/2014/main" id="{E88AF657-8B4E-48BD-AAEB-622BE54AB1BB}"/>
            </a:ext>
          </a:extLst>
        </xdr:cNvPr>
        <xdr:cNvSpPr>
          <a:spLocks noChangeAspect="1" noChangeArrowheads="1"/>
        </xdr:cNvSpPr>
      </xdr:nvSpPr>
      <xdr:spPr bwMode="auto">
        <a:xfrm>
          <a:off x="14944725" y="208597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1070675</xdr:colOff>
          <xdr:row>7</xdr:row>
          <xdr:rowOff>125169</xdr:rowOff>
        </xdr:from>
        <xdr:to>
          <xdr:col>9</xdr:col>
          <xdr:colOff>362114</xdr:colOff>
          <xdr:row>14</xdr:row>
          <xdr:rowOff>151628</xdr:rowOff>
        </xdr:to>
        <xdr:pic>
          <xdr:nvPicPr>
            <xdr:cNvPr id="27" name="Imagem 26">
              <a:extLst>
                <a:ext uri="{FF2B5EF4-FFF2-40B4-BE49-F238E27FC236}">
                  <a16:creationId xmlns:a16="http://schemas.microsoft.com/office/drawing/2014/main" id="{01BA64BE-EC62-4B39-B0B8-6240F44B377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DOS!$O$1:$P$7" spid="_x0000_s878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995910" y="1469875"/>
              <a:ext cx="2754057" cy="128151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1</xdr:col>
      <xdr:colOff>935354</xdr:colOff>
      <xdr:row>4</xdr:row>
      <xdr:rowOff>17145</xdr:rowOff>
    </xdr:from>
    <xdr:ext cx="66900" cy="668115"/>
    <xdr:pic>
      <xdr:nvPicPr>
        <xdr:cNvPr id="29" name="Imagem 28">
          <a:extLst>
            <a:ext uri="{FF2B5EF4-FFF2-40B4-BE49-F238E27FC236}">
              <a16:creationId xmlns:a16="http://schemas.microsoft.com/office/drawing/2014/main" id="{3C75E70C-EDEE-41C9-8373-FBB3552AAAF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flipH="1">
          <a:off x="2131694" y="8260080"/>
          <a:ext cx="66900" cy="668115"/>
        </a:xfrm>
        <a:prstGeom prst="rect">
          <a:avLst/>
        </a:prstGeom>
        <a:ln w="0"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1067841</xdr:colOff>
          <xdr:row>15</xdr:row>
          <xdr:rowOff>140412</xdr:rowOff>
        </xdr:from>
        <xdr:to>
          <xdr:col>9</xdr:col>
          <xdr:colOff>365441</xdr:colOff>
          <xdr:row>24</xdr:row>
          <xdr:rowOff>136155</xdr:rowOff>
        </xdr:to>
        <xdr:pic>
          <xdr:nvPicPr>
            <xdr:cNvPr id="30" name="Imagem 29">
              <a:extLst>
                <a:ext uri="{FF2B5EF4-FFF2-40B4-BE49-F238E27FC236}">
                  <a16:creationId xmlns:a16="http://schemas.microsoft.com/office/drawing/2014/main" id="{129E9776-719B-41B1-BD35-43D3727DC45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DOS!$L$1:$M$8" spid="_x0000_s878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993076" y="2919471"/>
              <a:ext cx="2765933" cy="16151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320777</xdr:colOff>
          <xdr:row>7</xdr:row>
          <xdr:rowOff>168273</xdr:rowOff>
        </xdr:from>
        <xdr:to>
          <xdr:col>14</xdr:col>
          <xdr:colOff>784141</xdr:colOff>
          <xdr:row>15</xdr:row>
          <xdr:rowOff>745</xdr:rowOff>
        </xdr:to>
        <xdr:pic>
          <xdr:nvPicPr>
            <xdr:cNvPr id="31" name="Imagem 30">
              <a:extLst>
                <a:ext uri="{FF2B5EF4-FFF2-40B4-BE49-F238E27FC236}">
                  <a16:creationId xmlns:a16="http://schemas.microsoft.com/office/drawing/2014/main" id="{058E16E9-ED27-4449-A5AF-7F19C4C37CB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DOS!$O$13:$P$19" spid="_x0000_s878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14171248" y="1512979"/>
              <a:ext cx="2771775" cy="12668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794473</xdr:colOff>
          <xdr:row>11</xdr:row>
          <xdr:rowOff>17010</xdr:rowOff>
        </xdr:from>
        <xdr:to>
          <xdr:col>3</xdr:col>
          <xdr:colOff>93594</xdr:colOff>
          <xdr:row>19</xdr:row>
          <xdr:rowOff>38812</xdr:rowOff>
        </xdr:to>
        <xdr:pic>
          <xdr:nvPicPr>
            <xdr:cNvPr id="34" name="Imagem 33">
              <a:extLst>
                <a:ext uri="{FF2B5EF4-FFF2-40B4-BE49-F238E27FC236}">
                  <a16:creationId xmlns:a16="http://schemas.microsoft.com/office/drawing/2014/main" id="{02D027EC-FD7A-4325-9060-72A6C79F57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DOS!$O$26:$P$33" spid="_x0000_s878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794473" y="2078892"/>
              <a:ext cx="2761739" cy="145615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332180</xdr:colOff>
          <xdr:row>15</xdr:row>
          <xdr:rowOff>122792</xdr:rowOff>
        </xdr:from>
        <xdr:to>
          <xdr:col>14</xdr:col>
          <xdr:colOff>783752</xdr:colOff>
          <xdr:row>21</xdr:row>
          <xdr:rowOff>136127</xdr:rowOff>
        </xdr:to>
        <xdr:pic>
          <xdr:nvPicPr>
            <xdr:cNvPr id="4" name="Imagem 3">
              <a:extLst>
                <a:ext uri="{FF2B5EF4-FFF2-40B4-BE49-F238E27FC236}">
                  <a16:creationId xmlns:a16="http://schemas.microsoft.com/office/drawing/2014/main" id="{8903D844-F932-A946-0150-EC58B91D421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DOS!$O$36:$P$41" spid="_x0000_s878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14182651" y="2901851"/>
              <a:ext cx="2769508" cy="10986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</xdr:col>
      <xdr:colOff>0</xdr:colOff>
      <xdr:row>0</xdr:row>
      <xdr:rowOff>140185</xdr:rowOff>
    </xdr:from>
    <xdr:to>
      <xdr:col>6</xdr:col>
      <xdr:colOff>16960</xdr:colOff>
      <xdr:row>3</xdr:row>
      <xdr:rowOff>28501</xdr:rowOff>
    </xdr:to>
    <xdr:sp macro="" textlink="DADOS!G5">
      <xdr:nvSpPr>
        <xdr:cNvPr id="7" name="Retângulo 6">
          <a:extLst>
            <a:ext uri="{FF2B5EF4-FFF2-40B4-BE49-F238E27FC236}">
              <a16:creationId xmlns:a16="http://schemas.microsoft.com/office/drawing/2014/main" id="{3862BC4C-C2D5-4B0A-8AFB-2181DC30E9CB}"/>
            </a:ext>
          </a:extLst>
        </xdr:cNvPr>
        <xdr:cNvSpPr/>
      </xdr:nvSpPr>
      <xdr:spPr>
        <a:xfrm>
          <a:off x="2308412" y="140185"/>
          <a:ext cx="4633783" cy="515845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014477A4-64FD-42EE-9B44-9D247B508FD3}" type="TxLink">
            <a:rPr lang="en-US" sz="1600" b="1" i="0" u="none" strike="noStrike">
              <a:solidFill>
                <a:schemeClr val="bg1"/>
              </a:solidFill>
              <a:latin typeface="Aptos Narrow"/>
            </a:rPr>
            <a:pPr algn="ctr"/>
            <a:t>-</a:t>
          </a:fld>
          <a:endParaRPr lang="en-US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92825</xdr:colOff>
      <xdr:row>0</xdr:row>
      <xdr:rowOff>142936</xdr:rowOff>
    </xdr:from>
    <xdr:to>
      <xdr:col>12</xdr:col>
      <xdr:colOff>1010735</xdr:colOff>
      <xdr:row>3</xdr:row>
      <xdr:rowOff>47126</xdr:rowOff>
    </xdr:to>
    <xdr:sp macro="" textlink="DADOS!A42">
      <xdr:nvSpPr>
        <xdr:cNvPr id="8" name="Retângulo 7">
          <a:extLst>
            <a:ext uri="{FF2B5EF4-FFF2-40B4-BE49-F238E27FC236}">
              <a16:creationId xmlns:a16="http://schemas.microsoft.com/office/drawing/2014/main" id="{68AC8414-037E-49B5-B522-4C36FE0F744F}"/>
            </a:ext>
          </a:extLst>
        </xdr:cNvPr>
        <xdr:cNvSpPr/>
      </xdr:nvSpPr>
      <xdr:spPr>
        <a:xfrm>
          <a:off x="7018060" y="142936"/>
          <a:ext cx="7843146" cy="531719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F50B414-8823-4043-99DA-F7DB85A1F5A0}" type="TxLink">
            <a:rPr lang="en-US" sz="1400" b="1" i="0" u="none" strike="noStrike">
              <a:solidFill>
                <a:schemeClr val="bg1"/>
              </a:solidFill>
              <a:latin typeface="Aptos Narrow"/>
            </a:rPr>
            <a:pPr algn="ctr"/>
            <a:t>-</a:t>
          </a:fld>
          <a:endParaRPr lang="en-US" sz="2000" b="1">
            <a:solidFill>
              <a:schemeClr val="bg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481853</xdr:colOff>
          <xdr:row>7</xdr:row>
          <xdr:rowOff>100853</xdr:rowOff>
        </xdr:from>
        <xdr:to>
          <xdr:col>11</xdr:col>
          <xdr:colOff>670448</xdr:colOff>
          <xdr:row>36</xdr:row>
          <xdr:rowOff>171338</xdr:rowOff>
        </xdr:to>
        <xdr:pic>
          <xdr:nvPicPr>
            <xdr:cNvPr id="5" name="Imagem 4">
              <a:extLst>
                <a:ext uri="{FF2B5EF4-FFF2-40B4-BE49-F238E27FC236}">
                  <a16:creationId xmlns:a16="http://schemas.microsoft.com/office/drawing/2014/main" id="{2393244A-590C-39E6-70D6-C0EF465BBFE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DOS!$R$1:$S$29" spid="_x0000_s878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10869706" y="1445559"/>
              <a:ext cx="2508437" cy="526620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918883</xdr:colOff>
          <xdr:row>7</xdr:row>
          <xdr:rowOff>145676</xdr:rowOff>
        </xdr:from>
        <xdr:to>
          <xdr:col>17</xdr:col>
          <xdr:colOff>155202</xdr:colOff>
          <xdr:row>37</xdr:row>
          <xdr:rowOff>21627</xdr:rowOff>
        </xdr:to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1CCA55CA-F57C-9F97-D785-0655D22DBB7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DOS!$U$1:$V$29" spid="_x0000_s879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17077765" y="1490382"/>
              <a:ext cx="2698937" cy="526620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210502</xdr:colOff>
      <xdr:row>4</xdr:row>
      <xdr:rowOff>20499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CFA1B5F-ED6C-4B5A-9AE5-3962F6288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365408" cy="8301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409490</xdr:colOff>
      <xdr:row>13</xdr:row>
      <xdr:rowOff>133350</xdr:rowOff>
    </xdr:from>
    <xdr:to>
      <xdr:col>19</xdr:col>
      <xdr:colOff>325754</xdr:colOff>
      <xdr:row>34</xdr:row>
      <xdr:rowOff>98439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89E0F5D-1AFB-5999-12B6-8C1B369D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890" y="2628900"/>
          <a:ext cx="9050739" cy="3769374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</xdr:colOff>
      <xdr:row>98</xdr:row>
      <xdr:rowOff>47625</xdr:rowOff>
    </xdr:from>
    <xdr:to>
      <xdr:col>20</xdr:col>
      <xdr:colOff>416168</xdr:colOff>
      <xdr:row>120</xdr:row>
      <xdr:rowOff>129892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351526F1-7D8D-FD15-C6B3-608B0F6AF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2690" y="17926050"/>
          <a:ext cx="10135478" cy="4058002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85</xdr:row>
      <xdr:rowOff>15241</xdr:rowOff>
    </xdr:from>
    <xdr:to>
      <xdr:col>19</xdr:col>
      <xdr:colOff>131445</xdr:colOff>
      <xdr:row>88</xdr:row>
      <xdr:rowOff>19051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91DD33C4-AA5A-3A60-C47B-DC03B7C05C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68518"/>
        <a:stretch>
          <a:fillRect/>
        </a:stretch>
      </xdr:blipFill>
      <xdr:spPr>
        <a:xfrm>
          <a:off x="3819525" y="16264891"/>
          <a:ext cx="7903845" cy="537210"/>
        </a:xfrm>
        <a:prstGeom prst="rect">
          <a:avLst/>
        </a:prstGeom>
      </xdr:spPr>
    </xdr:pic>
    <xdr:clientData/>
  </xdr:twoCellAnchor>
  <xdr:twoCellAnchor editAs="oneCell">
    <xdr:from>
      <xdr:col>3</xdr:col>
      <xdr:colOff>605790</xdr:colOff>
      <xdr:row>62</xdr:row>
      <xdr:rowOff>95251</xdr:rowOff>
    </xdr:from>
    <xdr:to>
      <xdr:col>20</xdr:col>
      <xdr:colOff>53340</xdr:colOff>
      <xdr:row>80</xdr:row>
      <xdr:rowOff>76201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3AE13DA-202F-B2CD-D991-7720E40656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17816"/>
        <a:stretch>
          <a:fillRect/>
        </a:stretch>
      </xdr:blipFill>
      <xdr:spPr>
        <a:xfrm>
          <a:off x="2434590" y="11458576"/>
          <a:ext cx="9810750" cy="3238500"/>
        </a:xfrm>
        <a:prstGeom prst="rect">
          <a:avLst/>
        </a:prstGeom>
      </xdr:spPr>
    </xdr:pic>
    <xdr:clientData/>
  </xdr:twoCellAnchor>
  <xdr:twoCellAnchor editAs="oneCell">
    <xdr:from>
      <xdr:col>1</xdr:col>
      <xdr:colOff>325756</xdr:colOff>
      <xdr:row>0</xdr:row>
      <xdr:rowOff>0</xdr:rowOff>
    </xdr:from>
    <xdr:to>
      <xdr:col>8</xdr:col>
      <xdr:colOff>517456</xdr:colOff>
      <xdr:row>8</xdr:row>
      <xdr:rowOff>135871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B586EC-0DBF-45EA-9A5F-14168D27F4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4388" b="18789"/>
        <a:stretch>
          <a:fillRect/>
        </a:stretch>
      </xdr:blipFill>
      <xdr:spPr>
        <a:xfrm>
          <a:off x="935356" y="0"/>
          <a:ext cx="4455090" cy="1587481"/>
        </a:xfrm>
        <a:prstGeom prst="rect">
          <a:avLst/>
        </a:prstGeom>
      </xdr:spPr>
    </xdr:pic>
    <xdr:clientData/>
  </xdr:twoCellAnchor>
  <xdr:twoCellAnchor editAs="oneCell">
    <xdr:from>
      <xdr:col>11</xdr:col>
      <xdr:colOff>198120</xdr:colOff>
      <xdr:row>3</xdr:row>
      <xdr:rowOff>171450</xdr:rowOff>
    </xdr:from>
    <xdr:to>
      <xdr:col>11</xdr:col>
      <xdr:colOff>226335</xdr:colOff>
      <xdr:row>6</xdr:row>
      <xdr:rowOff>19185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EFE270B-041F-4811-B833-96F3E7AD7AFA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 flipH="1">
          <a:off x="12390120" y="895350"/>
          <a:ext cx="28215" cy="383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314325</xdr:colOff>
      <xdr:row>0</xdr:row>
      <xdr:rowOff>57150</xdr:rowOff>
    </xdr:from>
    <xdr:to>
      <xdr:col>22</xdr:col>
      <xdr:colOff>245745</xdr:colOff>
      <xdr:row>11</xdr:row>
      <xdr:rowOff>98379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EEFBABF-627F-4BE3-B123-5891DA076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51" b="17489"/>
        <a:stretch>
          <a:fillRect/>
        </a:stretch>
      </xdr:blipFill>
      <xdr:spPr bwMode="auto">
        <a:xfrm>
          <a:off x="10677525" y="57150"/>
          <a:ext cx="2987040" cy="2132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358140</xdr:colOff>
      <xdr:row>23</xdr:row>
      <xdr:rowOff>123827</xdr:rowOff>
    </xdr:from>
    <xdr:to>
      <xdr:col>7</xdr:col>
      <xdr:colOff>217170</xdr:colOff>
      <xdr:row>32</xdr:row>
      <xdr:rowOff>85725</xdr:rowOff>
    </xdr:to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D87E3A6C-85B5-5877-3643-E2EF046D701F}"/>
            </a:ext>
          </a:extLst>
        </xdr:cNvPr>
        <xdr:cNvSpPr/>
      </xdr:nvSpPr>
      <xdr:spPr>
        <a:xfrm>
          <a:off x="2796540" y="4429127"/>
          <a:ext cx="1687830" cy="15906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493393</xdr:colOff>
      <xdr:row>23</xdr:row>
      <xdr:rowOff>131446</xdr:rowOff>
    </xdr:from>
    <xdr:to>
      <xdr:col>12</xdr:col>
      <xdr:colOff>342900</xdr:colOff>
      <xdr:row>30</xdr:row>
      <xdr:rowOff>114300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44257FF6-C6C1-B75D-5FA3-DFBD6BDE6BC2}"/>
            </a:ext>
          </a:extLst>
        </xdr:cNvPr>
        <xdr:cNvSpPr/>
      </xdr:nvSpPr>
      <xdr:spPr>
        <a:xfrm>
          <a:off x="5979793" y="4436746"/>
          <a:ext cx="1678307" cy="1249679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598170</xdr:colOff>
      <xdr:row>32</xdr:row>
      <xdr:rowOff>131446</xdr:rowOff>
    </xdr:from>
    <xdr:to>
      <xdr:col>8</xdr:col>
      <xdr:colOff>59054</xdr:colOff>
      <xdr:row>34</xdr:row>
      <xdr:rowOff>132693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699C1BFF-0C5D-26A6-90F9-0CE5E62B52B7}"/>
            </a:ext>
          </a:extLst>
        </xdr:cNvPr>
        <xdr:cNvSpPr/>
      </xdr:nvSpPr>
      <xdr:spPr>
        <a:xfrm>
          <a:off x="2426970" y="6065521"/>
          <a:ext cx="2508884" cy="363197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bg1"/>
              </a:solidFill>
            </a:rPr>
            <a:t>INFORMAR</a:t>
          </a:r>
          <a:r>
            <a:rPr lang="pt-BR" sz="900" b="1" baseline="0">
              <a:solidFill>
                <a:schemeClr val="bg1"/>
              </a:solidFill>
            </a:rPr>
            <a:t> AS DIMENSÕES DA PISCINA (A /B / C)</a:t>
          </a:r>
          <a:endParaRPr lang="pt-BR" sz="9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175259</xdr:colOff>
      <xdr:row>30</xdr:row>
      <xdr:rowOff>160020</xdr:rowOff>
    </xdr:from>
    <xdr:to>
      <xdr:col>13</xdr:col>
      <xdr:colOff>0</xdr:colOff>
      <xdr:row>32</xdr:row>
      <xdr:rowOff>160471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AA4D76D2-9E1D-6DE1-756E-4AA6D6337E53}"/>
            </a:ext>
          </a:extLst>
        </xdr:cNvPr>
        <xdr:cNvSpPr/>
      </xdr:nvSpPr>
      <xdr:spPr>
        <a:xfrm>
          <a:off x="5661659" y="5732145"/>
          <a:ext cx="2263141" cy="362401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bg1"/>
              </a:solidFill>
            </a:rPr>
            <a:t>INFORMAR</a:t>
          </a:r>
          <a:r>
            <a:rPr lang="pt-BR" sz="900" b="1" baseline="0">
              <a:solidFill>
                <a:schemeClr val="bg1"/>
              </a:solidFill>
            </a:rPr>
            <a:t> AS TEMPERATURAS </a:t>
          </a:r>
          <a:endParaRPr lang="pt-BR" sz="9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455295</xdr:colOff>
      <xdr:row>33</xdr:row>
      <xdr:rowOff>19051</xdr:rowOff>
    </xdr:from>
    <xdr:to>
      <xdr:col>4</xdr:col>
      <xdr:colOff>112936</xdr:colOff>
      <xdr:row>34</xdr:row>
      <xdr:rowOff>92259</xdr:rowOff>
    </xdr:to>
    <xdr:sp macro="" textlink="">
      <xdr:nvSpPr>
        <xdr:cNvPr id="27" name="Elipse 26">
          <a:extLst>
            <a:ext uri="{FF2B5EF4-FFF2-40B4-BE49-F238E27FC236}">
              <a16:creationId xmlns:a16="http://schemas.microsoft.com/office/drawing/2014/main" id="{8B06F188-AC94-D8F6-3D17-57908C7C30BB}"/>
            </a:ext>
          </a:extLst>
        </xdr:cNvPr>
        <xdr:cNvSpPr/>
      </xdr:nvSpPr>
      <xdr:spPr>
        <a:xfrm>
          <a:off x="2284095" y="6134101"/>
          <a:ext cx="267241" cy="25418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1</a:t>
          </a:r>
        </a:p>
      </xdr:txBody>
    </xdr:sp>
    <xdr:clientData/>
  </xdr:twoCellAnchor>
  <xdr:twoCellAnchor>
    <xdr:from>
      <xdr:col>9</xdr:col>
      <xdr:colOff>34290</xdr:colOff>
      <xdr:row>31</xdr:row>
      <xdr:rowOff>26670</xdr:rowOff>
    </xdr:from>
    <xdr:to>
      <xdr:col>9</xdr:col>
      <xdr:colOff>298517</xdr:colOff>
      <xdr:row>32</xdr:row>
      <xdr:rowOff>103689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219BDF39-E011-C1CD-D618-1B0718482593}"/>
            </a:ext>
          </a:extLst>
        </xdr:cNvPr>
        <xdr:cNvSpPr/>
      </xdr:nvSpPr>
      <xdr:spPr>
        <a:xfrm>
          <a:off x="5520690" y="5779770"/>
          <a:ext cx="264227" cy="257994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2</a:t>
          </a:r>
        </a:p>
      </xdr:txBody>
    </xdr:sp>
    <xdr:clientData/>
  </xdr:twoCellAnchor>
  <xdr:twoCellAnchor>
    <xdr:from>
      <xdr:col>14</xdr:col>
      <xdr:colOff>403859</xdr:colOff>
      <xdr:row>23</xdr:row>
      <xdr:rowOff>135255</xdr:rowOff>
    </xdr:from>
    <xdr:to>
      <xdr:col>17</xdr:col>
      <xdr:colOff>590549</xdr:colOff>
      <xdr:row>32</xdr:row>
      <xdr:rowOff>142875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D33DED5A-F0AD-F00A-DD37-F6AD2807FD56}"/>
            </a:ext>
          </a:extLst>
        </xdr:cNvPr>
        <xdr:cNvSpPr/>
      </xdr:nvSpPr>
      <xdr:spPr>
        <a:xfrm>
          <a:off x="8938259" y="4440555"/>
          <a:ext cx="2015490" cy="1636395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396240</xdr:colOff>
      <xdr:row>33</xdr:row>
      <xdr:rowOff>19050</xdr:rowOff>
    </xdr:from>
    <xdr:to>
      <xdr:col>18</xdr:col>
      <xdr:colOff>0</xdr:colOff>
      <xdr:row>34</xdr:row>
      <xdr:rowOff>179521</xdr:rowOff>
    </xdr:to>
    <xdr:sp macro="" textlink="">
      <xdr:nvSpPr>
        <xdr:cNvPr id="30" name="Retângulo 29">
          <a:extLst>
            <a:ext uri="{FF2B5EF4-FFF2-40B4-BE49-F238E27FC236}">
              <a16:creationId xmlns:a16="http://schemas.microsoft.com/office/drawing/2014/main" id="{E1C041E7-8D0D-AFF3-F130-CC224C87EB93}"/>
            </a:ext>
          </a:extLst>
        </xdr:cNvPr>
        <xdr:cNvSpPr/>
      </xdr:nvSpPr>
      <xdr:spPr>
        <a:xfrm>
          <a:off x="8930640" y="6134100"/>
          <a:ext cx="2042160" cy="341446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bg1"/>
              </a:solidFill>
            </a:rPr>
            <a:t>INFORMAR</a:t>
          </a:r>
          <a:r>
            <a:rPr lang="pt-BR" sz="900" b="1" baseline="0">
              <a:solidFill>
                <a:schemeClr val="bg1"/>
              </a:solidFill>
            </a:rPr>
            <a:t> AS CARACTERISTICAS</a:t>
          </a:r>
          <a:endParaRPr lang="pt-BR" sz="900" b="1">
            <a:solidFill>
              <a:schemeClr val="bg1"/>
            </a:solidFill>
          </a:endParaRPr>
        </a:p>
      </xdr:txBody>
    </xdr:sp>
    <xdr:clientData/>
  </xdr:twoCellAnchor>
  <xdr:twoCellAnchor>
    <xdr:from>
      <xdr:col>14</xdr:col>
      <xdr:colOff>274320</xdr:colOff>
      <xdr:row>33</xdr:row>
      <xdr:rowOff>62865</xdr:rowOff>
    </xdr:from>
    <xdr:to>
      <xdr:col>14</xdr:col>
      <xdr:colOff>542357</xdr:colOff>
      <xdr:row>34</xdr:row>
      <xdr:rowOff>113214</xdr:rowOff>
    </xdr:to>
    <xdr:sp macro="" textlink="">
      <xdr:nvSpPr>
        <xdr:cNvPr id="31" name="Elipse 30">
          <a:extLst>
            <a:ext uri="{FF2B5EF4-FFF2-40B4-BE49-F238E27FC236}">
              <a16:creationId xmlns:a16="http://schemas.microsoft.com/office/drawing/2014/main" id="{089C4BFE-AD54-0346-B3B0-C3389CE7173E}"/>
            </a:ext>
          </a:extLst>
        </xdr:cNvPr>
        <xdr:cNvSpPr/>
      </xdr:nvSpPr>
      <xdr:spPr>
        <a:xfrm>
          <a:off x="8808720" y="6177915"/>
          <a:ext cx="268037" cy="231324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3</a:t>
          </a:r>
        </a:p>
      </xdr:txBody>
    </xdr:sp>
    <xdr:clientData/>
  </xdr:twoCellAnchor>
  <xdr:twoCellAnchor>
    <xdr:from>
      <xdr:col>1</xdr:col>
      <xdr:colOff>5058</xdr:colOff>
      <xdr:row>38</xdr:row>
      <xdr:rowOff>17145</xdr:rowOff>
    </xdr:from>
    <xdr:to>
      <xdr:col>4</xdr:col>
      <xdr:colOff>347958</xdr:colOff>
      <xdr:row>40</xdr:row>
      <xdr:rowOff>91440</xdr:rowOff>
    </xdr:to>
    <xdr:sp macro="" textlink="">
      <xdr:nvSpPr>
        <xdr:cNvPr id="32" name="Retângulo 31">
          <a:extLst>
            <a:ext uri="{FF2B5EF4-FFF2-40B4-BE49-F238E27FC236}">
              <a16:creationId xmlns:a16="http://schemas.microsoft.com/office/drawing/2014/main" id="{71E694BE-5C34-F948-A357-26F9439FB359}"/>
            </a:ext>
          </a:extLst>
        </xdr:cNvPr>
        <xdr:cNvSpPr/>
      </xdr:nvSpPr>
      <xdr:spPr>
        <a:xfrm>
          <a:off x="615972" y="12892317"/>
          <a:ext cx="2175641" cy="442157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DIMENSÕES</a:t>
          </a:r>
        </a:p>
      </xdr:txBody>
    </xdr:sp>
    <xdr:clientData/>
  </xdr:twoCellAnchor>
  <xdr:twoCellAnchor>
    <xdr:from>
      <xdr:col>0</xdr:col>
      <xdr:colOff>456543</xdr:colOff>
      <xdr:row>38</xdr:row>
      <xdr:rowOff>95250</xdr:rowOff>
    </xdr:from>
    <xdr:to>
      <xdr:col>1</xdr:col>
      <xdr:colOff>157458</xdr:colOff>
      <xdr:row>40</xdr:row>
      <xdr:rowOff>17145</xdr:rowOff>
    </xdr:to>
    <xdr:sp macro="" textlink="">
      <xdr:nvSpPr>
        <xdr:cNvPr id="33" name="Elipse 32">
          <a:extLst>
            <a:ext uri="{FF2B5EF4-FFF2-40B4-BE49-F238E27FC236}">
              <a16:creationId xmlns:a16="http://schemas.microsoft.com/office/drawing/2014/main" id="{D301BB62-5781-838A-FC70-19E425834EA2}"/>
            </a:ext>
          </a:extLst>
        </xdr:cNvPr>
        <xdr:cNvSpPr/>
      </xdr:nvSpPr>
      <xdr:spPr>
        <a:xfrm>
          <a:off x="456543" y="12970422"/>
          <a:ext cx="311829" cy="289757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1</a:t>
          </a:r>
        </a:p>
      </xdr:txBody>
    </xdr:sp>
    <xdr:clientData/>
  </xdr:twoCellAnchor>
  <xdr:twoCellAnchor>
    <xdr:from>
      <xdr:col>0</xdr:col>
      <xdr:colOff>603425</xdr:colOff>
      <xdr:row>44</xdr:row>
      <xdr:rowOff>17145</xdr:rowOff>
    </xdr:from>
    <xdr:to>
      <xdr:col>4</xdr:col>
      <xdr:colOff>335411</xdr:colOff>
      <xdr:row>46</xdr:row>
      <xdr:rowOff>91440</xdr:rowOff>
    </xdr:to>
    <xdr:sp macro="" textlink="">
      <xdr:nvSpPr>
        <xdr:cNvPr id="34" name="Retângulo 33">
          <a:extLst>
            <a:ext uri="{FF2B5EF4-FFF2-40B4-BE49-F238E27FC236}">
              <a16:creationId xmlns:a16="http://schemas.microsoft.com/office/drawing/2014/main" id="{4477BD8B-4F86-800F-375F-E15C3A04F875}"/>
            </a:ext>
          </a:extLst>
        </xdr:cNvPr>
        <xdr:cNvSpPr/>
      </xdr:nvSpPr>
      <xdr:spPr>
        <a:xfrm>
          <a:off x="603425" y="13995904"/>
          <a:ext cx="2175641" cy="442157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TEMPERATURAS</a:t>
          </a:r>
        </a:p>
      </xdr:txBody>
    </xdr:sp>
    <xdr:clientData/>
  </xdr:twoCellAnchor>
  <xdr:twoCellAnchor>
    <xdr:from>
      <xdr:col>0</xdr:col>
      <xdr:colOff>462455</xdr:colOff>
      <xdr:row>44</xdr:row>
      <xdr:rowOff>87630</xdr:rowOff>
    </xdr:from>
    <xdr:to>
      <xdr:col>1</xdr:col>
      <xdr:colOff>144911</xdr:colOff>
      <xdr:row>46</xdr:row>
      <xdr:rowOff>17145</xdr:rowOff>
    </xdr:to>
    <xdr:sp macro="" textlink="">
      <xdr:nvSpPr>
        <xdr:cNvPr id="35" name="Elipse 34">
          <a:extLst>
            <a:ext uri="{FF2B5EF4-FFF2-40B4-BE49-F238E27FC236}">
              <a16:creationId xmlns:a16="http://schemas.microsoft.com/office/drawing/2014/main" id="{4BAF6208-5649-BF16-107F-F99EBE0D51AE}"/>
            </a:ext>
          </a:extLst>
        </xdr:cNvPr>
        <xdr:cNvSpPr/>
      </xdr:nvSpPr>
      <xdr:spPr>
        <a:xfrm>
          <a:off x="462455" y="14066389"/>
          <a:ext cx="293370" cy="297377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2</a:t>
          </a:r>
        </a:p>
      </xdr:txBody>
    </xdr:sp>
    <xdr:clientData/>
  </xdr:twoCellAnchor>
  <xdr:twoCellAnchor>
    <xdr:from>
      <xdr:col>0</xdr:col>
      <xdr:colOff>601520</xdr:colOff>
      <xdr:row>50</xdr:row>
      <xdr:rowOff>173355</xdr:rowOff>
    </xdr:from>
    <xdr:to>
      <xdr:col>4</xdr:col>
      <xdr:colOff>333506</xdr:colOff>
      <xdr:row>53</xdr:row>
      <xdr:rowOff>66675</xdr:rowOff>
    </xdr:to>
    <xdr:sp macro="" textlink="">
      <xdr:nvSpPr>
        <xdr:cNvPr id="38" name="Retângulo 37">
          <a:extLst>
            <a:ext uri="{FF2B5EF4-FFF2-40B4-BE49-F238E27FC236}">
              <a16:creationId xmlns:a16="http://schemas.microsoft.com/office/drawing/2014/main" id="{C85FB190-4211-1D40-9B89-55489BE541A7}"/>
            </a:ext>
          </a:extLst>
        </xdr:cNvPr>
        <xdr:cNvSpPr/>
      </xdr:nvSpPr>
      <xdr:spPr>
        <a:xfrm>
          <a:off x="601520" y="9946005"/>
          <a:ext cx="2170386" cy="436245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CARACTERISTICAS</a:t>
          </a:r>
        </a:p>
      </xdr:txBody>
    </xdr:sp>
    <xdr:clientData/>
  </xdr:twoCellAnchor>
  <xdr:twoCellAnchor>
    <xdr:from>
      <xdr:col>0</xdr:col>
      <xdr:colOff>464360</xdr:colOff>
      <xdr:row>51</xdr:row>
      <xdr:rowOff>62865</xdr:rowOff>
    </xdr:from>
    <xdr:to>
      <xdr:col>1</xdr:col>
      <xdr:colOff>143006</xdr:colOff>
      <xdr:row>52</xdr:row>
      <xdr:rowOff>173355</xdr:rowOff>
    </xdr:to>
    <xdr:sp macro="" textlink="">
      <xdr:nvSpPr>
        <xdr:cNvPr id="39" name="Elipse 38">
          <a:extLst>
            <a:ext uri="{FF2B5EF4-FFF2-40B4-BE49-F238E27FC236}">
              <a16:creationId xmlns:a16="http://schemas.microsoft.com/office/drawing/2014/main" id="{7E9DC7DA-028C-F273-86D6-5D25BC71561B}"/>
            </a:ext>
          </a:extLst>
        </xdr:cNvPr>
        <xdr:cNvSpPr/>
      </xdr:nvSpPr>
      <xdr:spPr>
        <a:xfrm>
          <a:off x="464360" y="10016490"/>
          <a:ext cx="288246" cy="29146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3</a:t>
          </a:r>
        </a:p>
      </xdr:txBody>
    </xdr:sp>
    <xdr:clientData/>
  </xdr:twoCellAnchor>
  <xdr:twoCellAnchor>
    <xdr:from>
      <xdr:col>10</xdr:col>
      <xdr:colOff>179070</xdr:colOff>
      <xdr:row>66</xdr:row>
      <xdr:rowOff>20955</xdr:rowOff>
    </xdr:from>
    <xdr:to>
      <xdr:col>19</xdr:col>
      <xdr:colOff>590549</xdr:colOff>
      <xdr:row>79</xdr:row>
      <xdr:rowOff>0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D1E7ADDC-50E4-4310-8108-57765997BABE}"/>
            </a:ext>
          </a:extLst>
        </xdr:cNvPr>
        <xdr:cNvSpPr/>
      </xdr:nvSpPr>
      <xdr:spPr>
        <a:xfrm>
          <a:off x="6275070" y="12108180"/>
          <a:ext cx="5897879" cy="2331720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586740</xdr:colOff>
      <xdr:row>84</xdr:row>
      <xdr:rowOff>95250</xdr:rowOff>
    </xdr:from>
    <xdr:to>
      <xdr:col>11</xdr:col>
      <xdr:colOff>523875</xdr:colOff>
      <xdr:row>88</xdr:row>
      <xdr:rowOff>57150</xdr:rowOff>
    </xdr:to>
    <xdr:sp macro="" textlink="">
      <xdr:nvSpPr>
        <xdr:cNvPr id="43" name="Retângulo 42">
          <a:extLst>
            <a:ext uri="{FF2B5EF4-FFF2-40B4-BE49-F238E27FC236}">
              <a16:creationId xmlns:a16="http://schemas.microsoft.com/office/drawing/2014/main" id="{5EAD0BD4-53A4-4BFE-8EF2-80501A8109D5}"/>
            </a:ext>
          </a:extLst>
        </xdr:cNvPr>
        <xdr:cNvSpPr/>
      </xdr:nvSpPr>
      <xdr:spPr>
        <a:xfrm>
          <a:off x="4853940" y="16163925"/>
          <a:ext cx="2375535" cy="685800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219075</xdr:colOff>
      <xdr:row>87</xdr:row>
      <xdr:rowOff>55245</xdr:rowOff>
    </xdr:from>
    <xdr:to>
      <xdr:col>11</xdr:col>
      <xdr:colOff>298662</xdr:colOff>
      <xdr:row>89</xdr:row>
      <xdr:rowOff>96402</xdr:rowOff>
    </xdr:to>
    <xdr:sp macro="" textlink="">
      <xdr:nvSpPr>
        <xdr:cNvPr id="44" name="Retângulo 43">
          <a:extLst>
            <a:ext uri="{FF2B5EF4-FFF2-40B4-BE49-F238E27FC236}">
              <a16:creationId xmlns:a16="http://schemas.microsoft.com/office/drawing/2014/main" id="{579460EC-4518-4446-976F-9EE1D16170D9}"/>
            </a:ext>
          </a:extLst>
        </xdr:cNvPr>
        <xdr:cNvSpPr/>
      </xdr:nvSpPr>
      <xdr:spPr>
        <a:xfrm>
          <a:off x="5095875" y="15942945"/>
          <a:ext cx="1908387" cy="403107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POTÊNCIA NECESSÁRIA</a:t>
          </a:r>
        </a:p>
      </xdr:txBody>
    </xdr:sp>
    <xdr:clientData/>
  </xdr:twoCellAnchor>
  <xdr:twoCellAnchor>
    <xdr:from>
      <xdr:col>11</xdr:col>
      <xdr:colOff>491490</xdr:colOff>
      <xdr:row>98</xdr:row>
      <xdr:rowOff>53340</xdr:rowOff>
    </xdr:from>
    <xdr:to>
      <xdr:col>20</xdr:col>
      <xdr:colOff>377190</xdr:colOff>
      <xdr:row>101</xdr:row>
      <xdr:rowOff>160020</xdr:rowOff>
    </xdr:to>
    <xdr:sp macro="" textlink="">
      <xdr:nvSpPr>
        <xdr:cNvPr id="47" name="Retângulo 46">
          <a:extLst>
            <a:ext uri="{FF2B5EF4-FFF2-40B4-BE49-F238E27FC236}">
              <a16:creationId xmlns:a16="http://schemas.microsoft.com/office/drawing/2014/main" id="{493AB546-9121-4562-AF46-41FCBBE1C375}"/>
            </a:ext>
          </a:extLst>
        </xdr:cNvPr>
        <xdr:cNvSpPr/>
      </xdr:nvSpPr>
      <xdr:spPr>
        <a:xfrm>
          <a:off x="7197090" y="17931765"/>
          <a:ext cx="5372100" cy="649605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348615</xdr:colOff>
      <xdr:row>101</xdr:row>
      <xdr:rowOff>1905</xdr:rowOff>
    </xdr:from>
    <xdr:to>
      <xdr:col>18</xdr:col>
      <xdr:colOff>97746</xdr:colOff>
      <xdr:row>103</xdr:row>
      <xdr:rowOff>83820</xdr:rowOff>
    </xdr:to>
    <xdr:sp macro="" textlink="">
      <xdr:nvSpPr>
        <xdr:cNvPr id="48" name="Retângulo 47">
          <a:extLst>
            <a:ext uri="{FF2B5EF4-FFF2-40B4-BE49-F238E27FC236}">
              <a16:creationId xmlns:a16="http://schemas.microsoft.com/office/drawing/2014/main" id="{4207525C-E681-4942-919D-9B46681B1A86}"/>
            </a:ext>
          </a:extLst>
        </xdr:cNvPr>
        <xdr:cNvSpPr/>
      </xdr:nvSpPr>
      <xdr:spPr>
        <a:xfrm>
          <a:off x="8883015" y="18423255"/>
          <a:ext cx="2187531" cy="443865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MODELO SUGERIDO</a:t>
          </a:r>
        </a:p>
      </xdr:txBody>
    </xdr:sp>
    <xdr:clientData/>
  </xdr:twoCellAnchor>
  <xdr:twoCellAnchor>
    <xdr:from>
      <xdr:col>4</xdr:col>
      <xdr:colOff>270509</xdr:colOff>
      <xdr:row>67</xdr:row>
      <xdr:rowOff>104775</xdr:rowOff>
    </xdr:from>
    <xdr:to>
      <xdr:col>7</xdr:col>
      <xdr:colOff>95250</xdr:colOff>
      <xdr:row>72</xdr:row>
      <xdr:rowOff>76200</xdr:rowOff>
    </xdr:to>
    <xdr:sp macro="" textlink="">
      <xdr:nvSpPr>
        <xdr:cNvPr id="53" name="Retângulo 52">
          <a:extLst>
            <a:ext uri="{FF2B5EF4-FFF2-40B4-BE49-F238E27FC236}">
              <a16:creationId xmlns:a16="http://schemas.microsoft.com/office/drawing/2014/main" id="{54732FE3-0CA6-41D6-B2AE-99ADD42E0A2C}"/>
            </a:ext>
          </a:extLst>
        </xdr:cNvPr>
        <xdr:cNvSpPr/>
      </xdr:nvSpPr>
      <xdr:spPr>
        <a:xfrm>
          <a:off x="2708909" y="12954000"/>
          <a:ext cx="1653541" cy="876300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495299</xdr:colOff>
      <xdr:row>112</xdr:row>
      <xdr:rowOff>9524</xdr:rowOff>
    </xdr:from>
    <xdr:to>
      <xdr:col>9</xdr:col>
      <xdr:colOff>196215</xdr:colOff>
      <xdr:row>119</xdr:row>
      <xdr:rowOff>43815</xdr:rowOff>
    </xdr:to>
    <xdr:sp macro="" textlink="">
      <xdr:nvSpPr>
        <xdr:cNvPr id="56" name="Retângulo 55">
          <a:extLst>
            <a:ext uri="{FF2B5EF4-FFF2-40B4-BE49-F238E27FC236}">
              <a16:creationId xmlns:a16="http://schemas.microsoft.com/office/drawing/2014/main" id="{8D695249-891B-4109-99B7-3E671444CE76}"/>
            </a:ext>
          </a:extLst>
        </xdr:cNvPr>
        <xdr:cNvSpPr/>
      </xdr:nvSpPr>
      <xdr:spPr>
        <a:xfrm>
          <a:off x="2324099" y="20421599"/>
          <a:ext cx="3358516" cy="1301116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5715</xdr:colOff>
      <xdr:row>84</xdr:row>
      <xdr:rowOff>95250</xdr:rowOff>
    </xdr:from>
    <xdr:to>
      <xdr:col>16</xdr:col>
      <xdr:colOff>539115</xdr:colOff>
      <xdr:row>88</xdr:row>
      <xdr:rowOff>57150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2F34FB5F-A02E-5B76-1319-5F77D7170272}"/>
            </a:ext>
          </a:extLst>
        </xdr:cNvPr>
        <xdr:cNvSpPr/>
      </xdr:nvSpPr>
      <xdr:spPr>
        <a:xfrm>
          <a:off x="7930515" y="16163925"/>
          <a:ext cx="2362200" cy="685800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287656</xdr:colOff>
      <xdr:row>87</xdr:row>
      <xdr:rowOff>72390</xdr:rowOff>
    </xdr:from>
    <xdr:to>
      <xdr:col>16</xdr:col>
      <xdr:colOff>329566</xdr:colOff>
      <xdr:row>89</xdr:row>
      <xdr:rowOff>94497</xdr:rowOff>
    </xdr:to>
    <xdr:sp macro="" textlink="">
      <xdr:nvSpPr>
        <xdr:cNvPr id="45" name="Retângulo 44">
          <a:extLst>
            <a:ext uri="{FF2B5EF4-FFF2-40B4-BE49-F238E27FC236}">
              <a16:creationId xmlns:a16="http://schemas.microsoft.com/office/drawing/2014/main" id="{1A57F2BA-EE98-E318-F13F-E78E8DDD5F57}"/>
            </a:ext>
          </a:extLst>
        </xdr:cNvPr>
        <xdr:cNvSpPr/>
      </xdr:nvSpPr>
      <xdr:spPr>
        <a:xfrm>
          <a:off x="8212456" y="15960090"/>
          <a:ext cx="1870710" cy="384057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MODELO SUGERIDO</a:t>
          </a:r>
        </a:p>
      </xdr:txBody>
    </xdr:sp>
    <xdr:clientData/>
  </xdr:twoCellAnchor>
  <xdr:twoCellAnchor>
    <xdr:from>
      <xdr:col>4</xdr:col>
      <xdr:colOff>495300</xdr:colOff>
      <xdr:row>118</xdr:row>
      <xdr:rowOff>171450</xdr:rowOff>
    </xdr:from>
    <xdr:to>
      <xdr:col>8</xdr:col>
      <xdr:colOff>231096</xdr:colOff>
      <xdr:row>121</xdr:row>
      <xdr:rowOff>76200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8ACF19D7-44A8-FA3F-C53E-E6EE03591388}"/>
            </a:ext>
          </a:extLst>
        </xdr:cNvPr>
        <xdr:cNvSpPr/>
      </xdr:nvSpPr>
      <xdr:spPr>
        <a:xfrm>
          <a:off x="2933700" y="21669375"/>
          <a:ext cx="2174196" cy="447675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SIMULADOR</a:t>
          </a:r>
        </a:p>
      </xdr:txBody>
    </xdr:sp>
    <xdr:clientData/>
  </xdr:twoCellAnchor>
  <xdr:twoCellAnchor editAs="oneCell">
    <xdr:from>
      <xdr:col>1</xdr:col>
      <xdr:colOff>19050</xdr:colOff>
      <xdr:row>131</xdr:row>
      <xdr:rowOff>149247</xdr:rowOff>
    </xdr:from>
    <xdr:to>
      <xdr:col>5</xdr:col>
      <xdr:colOff>269950</xdr:colOff>
      <xdr:row>150</xdr:row>
      <xdr:rowOff>97155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5D6238-5EAE-DB40-1929-EDBFDF0D1C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b="598"/>
        <a:stretch>
          <a:fillRect/>
        </a:stretch>
      </xdr:blipFill>
      <xdr:spPr>
        <a:xfrm>
          <a:off x="628650" y="23999847"/>
          <a:ext cx="2689300" cy="3386433"/>
        </a:xfrm>
        <a:prstGeom prst="rect">
          <a:avLst/>
        </a:prstGeom>
      </xdr:spPr>
    </xdr:pic>
    <xdr:clientData/>
  </xdr:twoCellAnchor>
  <xdr:twoCellAnchor editAs="oneCell">
    <xdr:from>
      <xdr:col>5</xdr:col>
      <xdr:colOff>306705</xdr:colOff>
      <xdr:row>131</xdr:row>
      <xdr:rowOff>171450</xdr:rowOff>
    </xdr:from>
    <xdr:to>
      <xdr:col>9</xdr:col>
      <xdr:colOff>497516</xdr:colOff>
      <xdr:row>150</xdr:row>
      <xdr:rowOff>97741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1ACC294D-5BAF-3202-4F0A-98AC2195D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54705" y="24022050"/>
          <a:ext cx="2629211" cy="3364816"/>
        </a:xfrm>
        <a:prstGeom prst="rect">
          <a:avLst/>
        </a:prstGeom>
      </xdr:spPr>
    </xdr:pic>
    <xdr:clientData/>
  </xdr:twoCellAnchor>
  <xdr:twoCellAnchor editAs="oneCell">
    <xdr:from>
      <xdr:col>10</xdr:col>
      <xdr:colOff>438150</xdr:colOff>
      <xdr:row>135</xdr:row>
      <xdr:rowOff>167641</xdr:rowOff>
    </xdr:from>
    <xdr:to>
      <xdr:col>16</xdr:col>
      <xdr:colOff>231741</xdr:colOff>
      <xdr:row>147</xdr:row>
      <xdr:rowOff>76201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D346A67-F26F-46AD-9E70-51F170699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534150" y="24742141"/>
          <a:ext cx="3451191" cy="2080260"/>
        </a:xfrm>
        <a:prstGeom prst="rect">
          <a:avLst/>
        </a:prstGeom>
      </xdr:spPr>
    </xdr:pic>
    <xdr:clientData/>
  </xdr:twoCellAnchor>
  <xdr:twoCellAnchor>
    <xdr:from>
      <xdr:col>14</xdr:col>
      <xdr:colOff>133351</xdr:colOff>
      <xdr:row>138</xdr:row>
      <xdr:rowOff>150495</xdr:rowOff>
    </xdr:from>
    <xdr:to>
      <xdr:col>16</xdr:col>
      <xdr:colOff>171451</xdr:colOff>
      <xdr:row>141</xdr:row>
      <xdr:rowOff>154305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319A8926-36AC-4AB5-8F74-C4D77E31A845}"/>
            </a:ext>
          </a:extLst>
        </xdr:cNvPr>
        <xdr:cNvSpPr/>
      </xdr:nvSpPr>
      <xdr:spPr>
        <a:xfrm>
          <a:off x="8667751" y="25267920"/>
          <a:ext cx="1257300" cy="546735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171451</xdr:colOff>
      <xdr:row>139</xdr:row>
      <xdr:rowOff>28576</xdr:rowOff>
    </xdr:from>
    <xdr:to>
      <xdr:col>19</xdr:col>
      <xdr:colOff>516847</xdr:colOff>
      <xdr:row>141</xdr:row>
      <xdr:rowOff>110491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BDBD1E6E-117E-4E57-8328-177EA234BB0B}"/>
            </a:ext>
          </a:extLst>
        </xdr:cNvPr>
        <xdr:cNvSpPr/>
      </xdr:nvSpPr>
      <xdr:spPr>
        <a:xfrm>
          <a:off x="9925051" y="25326976"/>
          <a:ext cx="2174196" cy="443865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SELECIONAR A OPÇÃO DESEJADA</a:t>
          </a:r>
        </a:p>
      </xdr:txBody>
    </xdr:sp>
    <xdr:clientData/>
  </xdr:twoCellAnchor>
  <xdr:twoCellAnchor editAs="oneCell">
    <xdr:from>
      <xdr:col>7</xdr:col>
      <xdr:colOff>142875</xdr:colOff>
      <xdr:row>154</xdr:row>
      <xdr:rowOff>114300</xdr:rowOff>
    </xdr:from>
    <xdr:to>
      <xdr:col>14</xdr:col>
      <xdr:colOff>590957</xdr:colOff>
      <xdr:row>168</xdr:row>
      <xdr:rowOff>55461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FD41DE80-3640-AA2D-DCAD-4C7DB491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10075" y="28127325"/>
          <a:ext cx="4705757" cy="2488146"/>
        </a:xfrm>
        <a:prstGeom prst="rect">
          <a:avLst/>
        </a:prstGeom>
      </xdr:spPr>
    </xdr:pic>
    <xdr:clientData/>
  </xdr:twoCellAnchor>
  <xdr:twoCellAnchor>
    <xdr:from>
      <xdr:col>12</xdr:col>
      <xdr:colOff>15240</xdr:colOff>
      <xdr:row>156</xdr:row>
      <xdr:rowOff>91440</xdr:rowOff>
    </xdr:from>
    <xdr:to>
      <xdr:col>14</xdr:col>
      <xdr:colOff>571500</xdr:colOff>
      <xdr:row>161</xdr:row>
      <xdr:rowOff>110490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47D22258-EC1B-44C2-B152-3355F83E02CA}"/>
            </a:ext>
          </a:extLst>
        </xdr:cNvPr>
        <xdr:cNvSpPr/>
      </xdr:nvSpPr>
      <xdr:spPr>
        <a:xfrm>
          <a:off x="7330440" y="28466415"/>
          <a:ext cx="1775460" cy="923925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228601</xdr:colOff>
      <xdr:row>0</xdr:row>
      <xdr:rowOff>0</xdr:rowOff>
    </xdr:from>
    <xdr:to>
      <xdr:col>16384</xdr:col>
      <xdr:colOff>15240</xdr:colOff>
      <xdr:row>6</xdr:row>
      <xdr:rowOff>95907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2A7734-1423-472E-BD4D-73CD67C9C3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51" b="17489"/>
        <a:stretch>
          <a:fillRect/>
        </a:stretch>
      </xdr:blipFill>
      <xdr:spPr bwMode="auto">
        <a:xfrm>
          <a:off x="4591051" y="0"/>
          <a:ext cx="1657349" cy="1166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398145</xdr:colOff>
      <xdr:row>5</xdr:row>
      <xdr:rowOff>92796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E822D0-EB55-415F-B929-BA443C43FC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4388" b="18789"/>
        <a:stretch>
          <a:fillRect/>
        </a:stretch>
      </xdr:blipFill>
      <xdr:spPr>
        <a:xfrm>
          <a:off x="0" y="0"/>
          <a:ext cx="2836545" cy="991956"/>
        </a:xfrm>
        <a:prstGeom prst="rect">
          <a:avLst/>
        </a:prstGeom>
      </xdr:spPr>
    </xdr:pic>
    <xdr:clientData/>
  </xdr:twoCellAnchor>
  <xdr:twoCellAnchor>
    <xdr:from>
      <xdr:col>1</xdr:col>
      <xdr:colOff>563880</xdr:colOff>
      <xdr:row>8</xdr:row>
      <xdr:rowOff>167640</xdr:rowOff>
    </xdr:from>
    <xdr:to>
      <xdr:col>7</xdr:col>
      <xdr:colOff>563880</xdr:colOff>
      <xdr:row>10</xdr:row>
      <xdr:rowOff>135255</xdr:rowOff>
    </xdr:to>
    <xdr:sp macro="" textlink="DADOS!A42">
      <xdr:nvSpPr>
        <xdr:cNvPr id="5" name="CaixaDeTexto 4">
          <a:extLst>
            <a:ext uri="{FF2B5EF4-FFF2-40B4-BE49-F238E27FC236}">
              <a16:creationId xmlns:a16="http://schemas.microsoft.com/office/drawing/2014/main" id="{44A97773-1FF1-3049-A7A6-6B0DE766AF33}"/>
            </a:ext>
          </a:extLst>
        </xdr:cNvPr>
        <xdr:cNvSpPr txBox="1"/>
      </xdr:nvSpPr>
      <xdr:spPr>
        <a:xfrm>
          <a:off x="1173480" y="1491615"/>
          <a:ext cx="3657600" cy="3295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911950B-6E8E-487A-9FA8-F345A12F56B0}" type="TxLink">
            <a:rPr lang="en-US" sz="1600" b="1" i="0" u="none" strike="noStrike">
              <a:solidFill>
                <a:srgbClr val="000000"/>
              </a:solidFill>
              <a:latin typeface="Aptos Narrow"/>
            </a:rPr>
            <a:pPr algn="ctr"/>
            <a:t>-</a:t>
          </a:fld>
          <a:endParaRPr lang="pt-BR" sz="160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 editAs="oneCell">
    <xdr:from>
      <xdr:col>4</xdr:col>
      <xdr:colOff>24765</xdr:colOff>
      <xdr:row>8</xdr:row>
      <xdr:rowOff>152400</xdr:rowOff>
    </xdr:from>
    <xdr:to>
      <xdr:col>4</xdr:col>
      <xdr:colOff>60600</xdr:colOff>
      <xdr:row>10</xdr:row>
      <xdr:rowOff>169680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854CA7F-7E5A-4BC7-B013-E59A11C64807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 flipH="1">
          <a:off x="2463165" y="1476375"/>
          <a:ext cx="39645" cy="3830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563880</xdr:colOff>
      <xdr:row>52</xdr:row>
      <xdr:rowOff>167640</xdr:rowOff>
    </xdr:from>
    <xdr:to>
      <xdr:col>7</xdr:col>
      <xdr:colOff>563880</xdr:colOff>
      <xdr:row>54</xdr:row>
      <xdr:rowOff>135255</xdr:rowOff>
    </xdr:to>
    <xdr:sp macro="" textlink="DADOS!A42">
      <xdr:nvSpPr>
        <xdr:cNvPr id="8" name="CaixaDeTexto 7">
          <a:extLst>
            <a:ext uri="{FF2B5EF4-FFF2-40B4-BE49-F238E27FC236}">
              <a16:creationId xmlns:a16="http://schemas.microsoft.com/office/drawing/2014/main" id="{3A794813-06CF-4CCE-BCE1-33CE4C2C44AE}"/>
            </a:ext>
          </a:extLst>
        </xdr:cNvPr>
        <xdr:cNvSpPr txBox="1"/>
      </xdr:nvSpPr>
      <xdr:spPr>
        <a:xfrm>
          <a:off x="1171575" y="1495425"/>
          <a:ext cx="3657600" cy="3219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911950B-6E8E-487A-9FA8-F345A12F56B0}" type="TxLink">
            <a:rPr lang="en-US" sz="1600" b="1" i="0" u="none" strike="noStrike">
              <a:solidFill>
                <a:srgbClr val="000000"/>
              </a:solidFill>
              <a:latin typeface="Aptos Narrow"/>
            </a:rPr>
            <a:pPr algn="ctr"/>
            <a:t>-</a:t>
          </a:fld>
          <a:endParaRPr lang="pt-BR" sz="160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oneCellAnchor>
    <xdr:from>
      <xdr:col>4</xdr:col>
      <xdr:colOff>24765</xdr:colOff>
      <xdr:row>52</xdr:row>
      <xdr:rowOff>152400</xdr:rowOff>
    </xdr:from>
    <xdr:ext cx="39645" cy="379230"/>
    <xdr:pic>
      <xdr:nvPicPr>
        <xdr:cNvPr id="9" name="Imagem 8">
          <a:extLst>
            <a:ext uri="{FF2B5EF4-FFF2-40B4-BE49-F238E27FC236}">
              <a16:creationId xmlns:a16="http://schemas.microsoft.com/office/drawing/2014/main" id="{D0E00216-610E-43F7-920C-782D112B6E17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 flipH="1">
          <a:off x="2459355" y="1476375"/>
          <a:ext cx="39645" cy="379230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0</xdr:col>
      <xdr:colOff>238659</xdr:colOff>
      <xdr:row>57</xdr:row>
      <xdr:rowOff>1040</xdr:rowOff>
    </xdr:from>
    <xdr:to>
      <xdr:col>2</xdr:col>
      <xdr:colOff>323317</xdr:colOff>
      <xdr:row>61</xdr:row>
      <xdr:rowOff>171794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1B39583A-BF52-46F2-8F1C-3715FAB89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659" y="10373765"/>
          <a:ext cx="1317193" cy="890844"/>
        </a:xfrm>
        <a:prstGeom prst="rect">
          <a:avLst/>
        </a:prstGeom>
      </xdr:spPr>
    </xdr:pic>
    <xdr:clientData/>
  </xdr:twoCellAnchor>
  <xdr:twoCellAnchor editAs="oneCell">
    <xdr:from>
      <xdr:col>5</xdr:col>
      <xdr:colOff>369570</xdr:colOff>
      <xdr:row>57</xdr:row>
      <xdr:rowOff>0</xdr:rowOff>
    </xdr:from>
    <xdr:to>
      <xdr:col>6</xdr:col>
      <xdr:colOff>360045</xdr:colOff>
      <xdr:row>61</xdr:row>
      <xdr:rowOff>170908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30B026B-B9E2-4491-9FF2-C22B70E5D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17570" y="10359391"/>
          <a:ext cx="600075" cy="906238"/>
        </a:xfrm>
        <a:prstGeom prst="rect">
          <a:avLst/>
        </a:prstGeom>
      </xdr:spPr>
    </xdr:pic>
    <xdr:clientData/>
  </xdr:twoCellAnchor>
  <xdr:twoCellAnchor editAs="oneCell">
    <xdr:from>
      <xdr:col>0</xdr:col>
      <xdr:colOff>211455</xdr:colOff>
      <xdr:row>64</xdr:row>
      <xdr:rowOff>19051</xdr:rowOff>
    </xdr:from>
    <xdr:to>
      <xdr:col>2</xdr:col>
      <xdr:colOff>300990</xdr:colOff>
      <xdr:row>71</xdr:row>
      <xdr:rowOff>18932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6381F73E-CDA8-4E69-AB5F-171864D99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" y="11353801"/>
          <a:ext cx="1308735" cy="1278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228601</xdr:colOff>
      <xdr:row>44</xdr:row>
      <xdr:rowOff>0</xdr:rowOff>
    </xdr:from>
    <xdr:to>
      <xdr:col>16384</xdr:col>
      <xdr:colOff>19050</xdr:colOff>
      <xdr:row>50</xdr:row>
      <xdr:rowOff>92097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D7ADB7B-3663-4398-8B10-38A99F6F74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51" b="17489"/>
        <a:stretch>
          <a:fillRect/>
        </a:stretch>
      </xdr:blipFill>
      <xdr:spPr bwMode="auto">
        <a:xfrm>
          <a:off x="4591051" y="7839075"/>
          <a:ext cx="1659254" cy="1168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4</xdr:col>
      <xdr:colOff>401955</xdr:colOff>
      <xdr:row>49</xdr:row>
      <xdr:rowOff>96606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5D72E27-A9BD-4C2F-A19A-03B8E4119C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4388" b="18789"/>
        <a:stretch>
          <a:fillRect/>
        </a:stretch>
      </xdr:blipFill>
      <xdr:spPr>
        <a:xfrm>
          <a:off x="0" y="7839075"/>
          <a:ext cx="2840355" cy="993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B9D91-13ED-470C-855D-15FB57852413}">
  <sheetPr codeName="Planilha1"/>
  <dimension ref="A1:Z44"/>
  <sheetViews>
    <sheetView showGridLines="0" showRowColHeaders="0" tabSelected="1" workbookViewId="0">
      <selection activeCell="E21" sqref="E21:G22"/>
    </sheetView>
  </sheetViews>
  <sheetFormatPr defaultColWidth="0" defaultRowHeight="14.4" zeroHeight="1" x14ac:dyDescent="0.3"/>
  <cols>
    <col min="1" max="26" width="8.88671875" customWidth="1"/>
    <col min="27" max="16384" width="8.88671875" hidden="1"/>
  </cols>
  <sheetData>
    <row r="1" spans="16:24" x14ac:dyDescent="0.3"/>
    <row r="2" spans="16:24" x14ac:dyDescent="0.3"/>
    <row r="3" spans="16:24" x14ac:dyDescent="0.3"/>
    <row r="4" spans="16:24" x14ac:dyDescent="0.3"/>
    <row r="5" spans="16:24" x14ac:dyDescent="0.3"/>
    <row r="6" spans="16:24" x14ac:dyDescent="0.3"/>
    <row r="7" spans="16:24" x14ac:dyDescent="0.3"/>
    <row r="8" spans="16:24" x14ac:dyDescent="0.3"/>
    <row r="9" spans="16:24" x14ac:dyDescent="0.3"/>
    <row r="10" spans="16:24" x14ac:dyDescent="0.3"/>
    <row r="11" spans="16:24" x14ac:dyDescent="0.3"/>
    <row r="12" spans="16:24" x14ac:dyDescent="0.3"/>
    <row r="13" spans="16:24" x14ac:dyDescent="0.3"/>
    <row r="14" spans="16:24" x14ac:dyDescent="0.3">
      <c r="P14" s="79"/>
      <c r="Q14" s="79"/>
      <c r="R14" s="79"/>
      <c r="S14" s="79"/>
      <c r="T14" s="79"/>
      <c r="U14" s="79"/>
      <c r="V14" s="79"/>
      <c r="W14" s="79"/>
      <c r="X14" s="79"/>
    </row>
    <row r="15" spans="16:24" x14ac:dyDescent="0.3">
      <c r="P15" s="79"/>
      <c r="Q15" s="79"/>
      <c r="R15" s="79"/>
      <c r="S15" s="79"/>
      <c r="T15" s="79"/>
      <c r="U15" s="79"/>
      <c r="V15" s="79"/>
      <c r="W15" s="79"/>
      <c r="X15" s="79"/>
    </row>
    <row r="16" spans="16:24" x14ac:dyDescent="0.3"/>
    <row r="17" spans="2:24" x14ac:dyDescent="0.3"/>
    <row r="18" spans="2:24" x14ac:dyDescent="0.3">
      <c r="B18" s="79" t="s">
        <v>16</v>
      </c>
      <c r="C18" s="79"/>
      <c r="D18" s="79"/>
      <c r="E18" s="79"/>
      <c r="F18" s="79"/>
      <c r="G18" s="79"/>
      <c r="H18" s="79"/>
      <c r="I18" s="79"/>
      <c r="J18" s="79"/>
    </row>
    <row r="19" spans="2:24" x14ac:dyDescent="0.3">
      <c r="B19" s="79"/>
      <c r="C19" s="79"/>
      <c r="D19" s="79"/>
      <c r="E19" s="79"/>
      <c r="F19" s="79"/>
      <c r="G19" s="79"/>
      <c r="H19" s="79"/>
      <c r="I19" s="79"/>
      <c r="J19" s="79"/>
    </row>
    <row r="20" spans="2:24" x14ac:dyDescent="0.3"/>
    <row r="21" spans="2:24" x14ac:dyDescent="0.3">
      <c r="E21" s="80" t="s">
        <v>122</v>
      </c>
      <c r="F21" s="80"/>
      <c r="G21" s="80"/>
    </row>
    <row r="22" spans="2:24" x14ac:dyDescent="0.3">
      <c r="E22" s="80"/>
      <c r="F22" s="80"/>
      <c r="G22" s="80"/>
    </row>
    <row r="23" spans="2:24" ht="14.4" customHeight="1" x14ac:dyDescent="0.3"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4" ht="14.4" customHeight="1" x14ac:dyDescent="0.3">
      <c r="B24" s="17"/>
      <c r="C24" s="17"/>
      <c r="D24" s="17"/>
      <c r="E24" s="80" t="s">
        <v>126</v>
      </c>
      <c r="F24" s="80"/>
      <c r="G24" s="80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2:24" ht="14.4" customHeight="1" x14ac:dyDescent="0.3">
      <c r="B25" s="17"/>
      <c r="C25" s="17"/>
      <c r="D25" s="17"/>
      <c r="E25" s="80"/>
      <c r="F25" s="80"/>
      <c r="G25" s="80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2:24" ht="14.4" customHeight="1" x14ac:dyDescent="0.3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2:24" ht="14.4" customHeight="1" x14ac:dyDescent="0.3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2:24" ht="14.4" customHeight="1" x14ac:dyDescent="0.3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2:24" ht="14.4" customHeight="1" x14ac:dyDescent="0.3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2:24" ht="14.4" customHeight="1" x14ac:dyDescent="0.3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2:24" ht="14.4" customHeight="1" x14ac:dyDescent="0.3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2:24" ht="14.4" customHeight="1" x14ac:dyDescent="0.3">
      <c r="B32" s="78" t="s">
        <v>307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spans="2:24" ht="14.4" customHeight="1" x14ac:dyDescent="0.3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</row>
    <row r="34" spans="2:24" ht="14.4" customHeight="1" x14ac:dyDescent="0.3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spans="2:24" ht="14.4" customHeight="1" x14ac:dyDescent="0.3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</row>
    <row r="36" spans="2:24" ht="14.4" customHeight="1" x14ac:dyDescent="0.3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</row>
    <row r="37" spans="2:24" ht="14.4" customHeight="1" x14ac:dyDescent="0.3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</row>
    <row r="38" spans="2:24" ht="14.4" customHeight="1" x14ac:dyDescent="0.3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</row>
    <row r="39" spans="2:24" ht="14.4" customHeight="1" x14ac:dyDescent="0.3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2:24" ht="14.4" hidden="1" customHeight="1" x14ac:dyDescent="0.3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2:24" ht="14.4" hidden="1" customHeight="1" x14ac:dyDescent="0.3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spans="2:24" hidden="1" x14ac:dyDescent="0.3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</row>
    <row r="43" spans="2:24" hidden="1" x14ac:dyDescent="0.3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4" spans="2:24" hidden="1" x14ac:dyDescent="0.3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</sheetData>
  <sheetProtection algorithmName="SHA-512" hashValue="fRy9/Sv1miQo0mOLnQLUH1DBOVx2wGE2/8gxkAiow2+73OrD1KTkhrv8dgocLe3vEE4Br1oWaMIVhZczN3IJTQ==" saltValue="PoRs5+N0+Y6MPc2MVLbGpQ==" spinCount="100000" sheet="1" objects="1" scenarios="1" selectLockedCells="1"/>
  <mergeCells count="5">
    <mergeCell ref="B32:X38"/>
    <mergeCell ref="B18:J19"/>
    <mergeCell ref="P14:X15"/>
    <mergeCell ref="E21:G22"/>
    <mergeCell ref="E24:G25"/>
  </mergeCells>
  <hyperlinks>
    <hyperlink ref="E24:G25" location="AJUDA!A1" display="DIMENSIONAR" xr:uid="{B360EFBB-E769-4B24-978D-4304C41CD137}"/>
    <hyperlink ref="E21:G22" location="DIMENSIONAMENTO!A1" display="INICIAR" xr:uid="{E52C13B9-9EE6-4E6D-992B-E5803707F05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B724-2298-4FCD-8781-024333C07D24}">
  <sheetPr codeName="Planilha2">
    <tabColor theme="4"/>
  </sheetPr>
  <dimension ref="A1:AD46"/>
  <sheetViews>
    <sheetView showGridLines="0" showRowColHeaders="0" zoomScale="70" zoomScaleNormal="70" workbookViewId="0">
      <pane ySplit="4" topLeftCell="A5" activePane="bottomLeft" state="frozen"/>
      <selection pane="bottomLeft" activeCell="C26" sqref="C26"/>
    </sheetView>
  </sheetViews>
  <sheetFormatPr defaultColWidth="0" defaultRowHeight="14.4" zeroHeight="1" x14ac:dyDescent="0.3"/>
  <cols>
    <col min="1" max="19" width="16.77734375" customWidth="1"/>
    <col min="20" max="25" width="16.77734375" hidden="1" customWidth="1"/>
    <col min="26" max="30" width="0" hidden="1" customWidth="1"/>
    <col min="31" max="16384" width="8.88671875" hidden="1"/>
  </cols>
  <sheetData>
    <row r="1" spans="1:19" x14ac:dyDescent="0.3"/>
    <row r="2" spans="1:19" ht="18" customHeight="1" x14ac:dyDescent="0.3">
      <c r="N2" s="82" t="s">
        <v>126</v>
      </c>
      <c r="O2" s="83"/>
      <c r="P2" s="82" t="s">
        <v>121</v>
      </c>
      <c r="Q2" s="83"/>
      <c r="R2" s="82" t="s">
        <v>303</v>
      </c>
      <c r="S2" s="83"/>
    </row>
    <row r="3" spans="1:19" ht="18" customHeight="1" x14ac:dyDescent="0.3">
      <c r="N3" s="82"/>
      <c r="O3" s="83"/>
      <c r="P3" s="82"/>
      <c r="Q3" s="83"/>
      <c r="R3" s="82"/>
      <c r="S3" s="83"/>
    </row>
    <row r="4" spans="1:19" x14ac:dyDescent="0.3"/>
    <row r="5" spans="1:19" ht="14.4" customHeight="1" x14ac:dyDescent="0.3">
      <c r="A5" s="88" t="s">
        <v>123</v>
      </c>
    </row>
    <row r="6" spans="1:19" ht="14.4" customHeight="1" x14ac:dyDescent="0.3">
      <c r="A6" s="88"/>
      <c r="B6" s="81" t="s">
        <v>17</v>
      </c>
      <c r="C6" s="81"/>
      <c r="D6" s="81"/>
      <c r="E6" s="81"/>
      <c r="F6" s="81"/>
      <c r="H6" s="81" t="s">
        <v>187</v>
      </c>
      <c r="I6" s="81"/>
      <c r="J6" s="81"/>
      <c r="K6" s="81"/>
      <c r="L6" s="81"/>
      <c r="M6" s="35"/>
      <c r="N6" s="81" t="s">
        <v>18</v>
      </c>
      <c r="O6" s="81"/>
      <c r="P6" s="81"/>
      <c r="Q6" s="81"/>
      <c r="R6" s="35"/>
      <c r="S6" s="35"/>
    </row>
    <row r="7" spans="1:19" ht="14.4" customHeight="1" x14ac:dyDescent="0.3">
      <c r="B7" s="81"/>
      <c r="C7" s="81"/>
      <c r="D7" s="81"/>
      <c r="E7" s="81"/>
      <c r="F7" s="81"/>
      <c r="H7" s="81"/>
      <c r="I7" s="81"/>
      <c r="J7" s="81"/>
      <c r="K7" s="81"/>
      <c r="L7" s="81"/>
      <c r="M7" s="35"/>
      <c r="N7" s="81"/>
      <c r="O7" s="81"/>
      <c r="P7" s="81"/>
      <c r="Q7" s="81"/>
      <c r="R7" s="35"/>
      <c r="S7" s="35"/>
    </row>
    <row r="8" spans="1:19" x14ac:dyDescent="0.3"/>
    <row r="9" spans="1:19" x14ac:dyDescent="0.3"/>
    <row r="10" spans="1:19" x14ac:dyDescent="0.3"/>
    <row r="11" spans="1:19" x14ac:dyDescent="0.3"/>
    <row r="12" spans="1:19" x14ac:dyDescent="0.3"/>
    <row r="13" spans="1:19" x14ac:dyDescent="0.3"/>
    <row r="14" spans="1:19" x14ac:dyDescent="0.3"/>
    <row r="15" spans="1:19" x14ac:dyDescent="0.3"/>
    <row r="16" spans="1:19" x14ac:dyDescent="0.3"/>
    <row r="17" spans="1:15" x14ac:dyDescent="0.3"/>
    <row r="18" spans="1:15" x14ac:dyDescent="0.3"/>
    <row r="19" spans="1:15" x14ac:dyDescent="0.3"/>
    <row r="20" spans="1:15" x14ac:dyDescent="0.3"/>
    <row r="21" spans="1:15" x14ac:dyDescent="0.3"/>
    <row r="22" spans="1:15" x14ac:dyDescent="0.3"/>
    <row r="23" spans="1:15" x14ac:dyDescent="0.3"/>
    <row r="24" spans="1:15" ht="14.4" customHeight="1" x14ac:dyDescent="0.3"/>
    <row r="25" spans="1:15" ht="14.4" customHeight="1" x14ac:dyDescent="0.3"/>
    <row r="26" spans="1:15" ht="15.6" x14ac:dyDescent="0.3">
      <c r="A26" s="84" t="s">
        <v>150</v>
      </c>
      <c r="B26" s="85"/>
      <c r="C26" s="77"/>
      <c r="G26" s="84" t="s">
        <v>180</v>
      </c>
      <c r="H26" s="84"/>
      <c r="I26" s="77"/>
      <c r="M26" s="84" t="s">
        <v>4</v>
      </c>
      <c r="N26" s="84"/>
      <c r="O26" s="77" t="s">
        <v>14</v>
      </c>
    </row>
    <row r="27" spans="1:15" ht="14.4" customHeight="1" x14ac:dyDescent="0.3">
      <c r="E27" s="86"/>
      <c r="F27" s="87"/>
      <c r="N27" s="36"/>
      <c r="O27" s="35"/>
    </row>
    <row r="28" spans="1:15" ht="14.4" customHeight="1" x14ac:dyDescent="0.3">
      <c r="A28" s="84" t="s">
        <v>151</v>
      </c>
      <c r="B28" s="85"/>
      <c r="C28" s="77"/>
      <c r="E28" s="86"/>
      <c r="F28" s="87"/>
      <c r="G28" s="84" t="s">
        <v>181</v>
      </c>
      <c r="H28" s="84"/>
      <c r="I28" s="77"/>
      <c r="M28" s="84" t="s">
        <v>143</v>
      </c>
      <c r="N28" s="84"/>
      <c r="O28" s="77" t="s">
        <v>14</v>
      </c>
    </row>
    <row r="29" spans="1:15" x14ac:dyDescent="0.3"/>
    <row r="30" spans="1:15" ht="14.4" customHeight="1" x14ac:dyDescent="0.3">
      <c r="A30" s="84" t="s">
        <v>152</v>
      </c>
      <c r="B30" s="85"/>
      <c r="C30" s="77"/>
      <c r="M30" s="84" t="s">
        <v>6</v>
      </c>
      <c r="N30" s="84"/>
      <c r="O30" s="77" t="s">
        <v>14</v>
      </c>
    </row>
    <row r="31" spans="1:15" ht="14.4" customHeight="1" x14ac:dyDescent="0.3"/>
    <row r="32" spans="1:15" ht="15.6" x14ac:dyDescent="0.3">
      <c r="M32" s="84" t="s">
        <v>7</v>
      </c>
      <c r="N32" s="84"/>
      <c r="O32" s="77" t="s">
        <v>14</v>
      </c>
    </row>
    <row r="33" spans="1:15" ht="14.4" customHeight="1" x14ac:dyDescent="0.3"/>
    <row r="34" spans="1:15" ht="14.4" customHeight="1" x14ac:dyDescent="0.3"/>
    <row r="35" spans="1:15" ht="14.4" customHeight="1" x14ac:dyDescent="0.3">
      <c r="A35" s="84" t="s">
        <v>150</v>
      </c>
      <c r="B35" s="85"/>
      <c r="C35" s="77"/>
      <c r="G35" s="84" t="s">
        <v>182</v>
      </c>
      <c r="H35" s="84"/>
      <c r="I35" s="77"/>
    </row>
    <row r="36" spans="1:15" ht="14.4" customHeight="1" x14ac:dyDescent="0.3"/>
    <row r="37" spans="1:15" ht="14.4" customHeight="1" x14ac:dyDescent="0.3">
      <c r="A37" s="84" t="s">
        <v>151</v>
      </c>
      <c r="B37" s="85"/>
      <c r="C37" s="77"/>
      <c r="E37" s="90"/>
    </row>
    <row r="38" spans="1:15" ht="15.6" x14ac:dyDescent="0.3">
      <c r="E38" s="90"/>
      <c r="M38" s="84" t="s">
        <v>183</v>
      </c>
      <c r="N38" s="84"/>
      <c r="O38" s="77">
        <v>24</v>
      </c>
    </row>
    <row r="39" spans="1:15" ht="15.6" x14ac:dyDescent="0.3">
      <c r="A39" s="84" t="s">
        <v>152</v>
      </c>
      <c r="B39" s="85"/>
      <c r="C39" s="77"/>
    </row>
    <row r="40" spans="1:15" ht="14.4" customHeight="1" x14ac:dyDescent="0.3">
      <c r="M40" s="84" t="s">
        <v>94</v>
      </c>
      <c r="N40" s="84"/>
      <c r="O40" s="77" t="s">
        <v>127</v>
      </c>
    </row>
    <row r="41" spans="1:15" x14ac:dyDescent="0.3"/>
    <row r="42" spans="1:15" x14ac:dyDescent="0.3"/>
    <row r="43" spans="1:15" x14ac:dyDescent="0.3">
      <c r="A43" s="89" t="s">
        <v>125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</row>
    <row r="44" spans="1:15" x14ac:dyDescent="0.3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</row>
    <row r="45" spans="1:15" x14ac:dyDescent="0.3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</row>
    <row r="46" spans="1:15" x14ac:dyDescent="0.3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</row>
  </sheetData>
  <sheetProtection algorithmName="SHA-512" hashValue="ZsyPZE7LtsOpsDZBTSoij4F2LHN599xFglTBrydV3LTF3dwRCb2bOgGj43/z+YzCDewYMB69wJfD4v9qGWj6PA==" saltValue="e6qZ0AB4uzwHmAIhrzRXdQ==" spinCount="100000" sheet="1" objects="1" scenarios="1" selectLockedCells="1"/>
  <mergeCells count="26">
    <mergeCell ref="R2:S3"/>
    <mergeCell ref="A43:O46"/>
    <mergeCell ref="G26:H26"/>
    <mergeCell ref="G28:H28"/>
    <mergeCell ref="G35:H35"/>
    <mergeCell ref="M26:N26"/>
    <mergeCell ref="M30:N30"/>
    <mergeCell ref="M32:N32"/>
    <mergeCell ref="A30:B30"/>
    <mergeCell ref="A35:B35"/>
    <mergeCell ref="A37:B37"/>
    <mergeCell ref="A39:B39"/>
    <mergeCell ref="M28:N28"/>
    <mergeCell ref="M38:N38"/>
    <mergeCell ref="M40:N40"/>
    <mergeCell ref="E37:E38"/>
    <mergeCell ref="N6:Q7"/>
    <mergeCell ref="N2:O3"/>
    <mergeCell ref="P2:Q3"/>
    <mergeCell ref="A26:B26"/>
    <mergeCell ref="A28:B28"/>
    <mergeCell ref="B6:F7"/>
    <mergeCell ref="E27:E28"/>
    <mergeCell ref="F27:F28"/>
    <mergeCell ref="A5:A6"/>
    <mergeCell ref="H6:L7"/>
  </mergeCells>
  <dataValidations disablePrompts="1" count="2">
    <dataValidation type="list" allowBlank="1" showInputMessage="1" showErrorMessage="1" sqref="O26 O30 O32 O28" xr:uid="{DB467FF7-D28D-4988-80BF-CA42A5D8DDAC}">
      <formula1>"SIM,NÃO"</formula1>
    </dataValidation>
    <dataValidation type="list" allowBlank="1" showInputMessage="1" showErrorMessage="1" sqref="O40" xr:uid="{601A5961-BCE7-4188-B74E-8F0A147B9775}">
      <formula1>"FORTE,MODERADO,FRACO,SEM VENTO"</formula1>
    </dataValidation>
  </dataValidations>
  <hyperlinks>
    <hyperlink ref="A5:A6" location="REFERENCIAS!A7" display="REFERÊNCIAS" xr:uid="{443C0DA7-8F14-42E7-82E0-369EEF81BEC2}"/>
    <hyperlink ref="N2:O3" location="AJUDA!A1" display="AJUDA" xr:uid="{298F5459-B93B-4028-BF97-A4985D8E6921}"/>
    <hyperlink ref="P2:Q3" location="'BOMBA DE CALOR'!A1" display="INICIO" xr:uid="{5C574EEE-38E4-4444-9137-E4ADE6855A43}"/>
    <hyperlink ref="R2:S3" location="RELATÓRIO!A1" display="RELATÓRIO" xr:uid="{6E4268B6-A10F-4245-8CDD-D8BD53D268B9}"/>
  </hyperlink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DEA83E6-E91C-48FC-AD7C-ACDA5E7A42D1}">
          <x14:formula1>
            <xm:f>DADOS!$X$3:$X$29</xm:f>
          </x14:formula1>
          <xm:sqref>I35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B533-DFC9-4B4C-B7D5-441D198DCF33}">
  <sheetPr codeName="Planilha4">
    <tabColor theme="4"/>
  </sheetPr>
  <dimension ref="A1:AD51"/>
  <sheetViews>
    <sheetView showGridLines="0" zoomScale="70" zoomScaleNormal="70" workbookViewId="0">
      <pane ySplit="4" topLeftCell="A5" activePane="bottomLeft" state="frozen"/>
      <selection pane="bottomLeft" activeCell="A23" sqref="A23:B2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" defaultRowHeight="0" customHeight="1" zeroHeight="1" x14ac:dyDescent="0.3"/>
  <cols>
    <col min="1" max="19" width="16.77734375" customWidth="1"/>
    <col min="20" max="30" width="16.77734375" hidden="1" customWidth="1"/>
    <col min="31" max="16384" width="8.88671875" hidden="1"/>
  </cols>
  <sheetData>
    <row r="1" spans="1:19" ht="14.4" x14ac:dyDescent="0.3"/>
    <row r="2" spans="1:19" ht="18" customHeight="1" x14ac:dyDescent="0.3">
      <c r="N2" s="82" t="s">
        <v>126</v>
      </c>
      <c r="O2" s="83"/>
      <c r="P2" s="82" t="s">
        <v>121</v>
      </c>
      <c r="Q2" s="83"/>
      <c r="R2" s="82" t="s">
        <v>303</v>
      </c>
      <c r="S2" s="83"/>
    </row>
    <row r="3" spans="1:19" ht="18" customHeight="1" x14ac:dyDescent="0.3">
      <c r="N3" s="82"/>
      <c r="O3" s="83"/>
      <c r="P3" s="82"/>
      <c r="Q3" s="83"/>
      <c r="R3" s="82"/>
      <c r="S3" s="83"/>
    </row>
    <row r="4" spans="1:19" ht="14.4" x14ac:dyDescent="0.3"/>
    <row r="5" spans="1:19" s="12" customFormat="1" ht="14.4" x14ac:dyDescent="0.3">
      <c r="A5" s="95" t="s">
        <v>124</v>
      </c>
      <c r="B5" s="13"/>
      <c r="C5" s="13"/>
      <c r="D5" s="13"/>
      <c r="E5" s="13"/>
      <c r="F5" s="13"/>
    </row>
    <row r="6" spans="1:19" s="13" customFormat="1" ht="14.4" x14ac:dyDescent="0.3">
      <c r="A6" s="95"/>
      <c r="B6" s="81" t="s">
        <v>93</v>
      </c>
      <c r="C6" s="81"/>
      <c r="D6" s="81"/>
      <c r="E6" s="81"/>
      <c r="F6" s="81"/>
    </row>
    <row r="7" spans="1:19" s="13" customFormat="1" ht="14.4" x14ac:dyDescent="0.3">
      <c r="B7" s="81"/>
      <c r="C7" s="81"/>
      <c r="D7" s="81"/>
      <c r="E7" s="81"/>
      <c r="F7" s="81"/>
    </row>
    <row r="8" spans="1:19" ht="14.4" x14ac:dyDescent="0.3"/>
    <row r="9" spans="1:19" ht="14.4" x14ac:dyDescent="0.3"/>
    <row r="10" spans="1:19" ht="14.4" x14ac:dyDescent="0.3"/>
    <row r="11" spans="1:19" ht="14.4" x14ac:dyDescent="0.3"/>
    <row r="12" spans="1:19" ht="14.4" x14ac:dyDescent="0.3"/>
    <row r="13" spans="1:19" ht="14.4" x14ac:dyDescent="0.3"/>
    <row r="14" spans="1:19" ht="14.4" x14ac:dyDescent="0.3"/>
    <row r="15" spans="1:19" ht="14.4" x14ac:dyDescent="0.3"/>
    <row r="16" spans="1:19" ht="14.4" x14ac:dyDescent="0.3"/>
    <row r="17" spans="1:4" ht="14.4" x14ac:dyDescent="0.3"/>
    <row r="18" spans="1:4" ht="14.4" x14ac:dyDescent="0.3"/>
    <row r="19" spans="1:4" ht="14.4" x14ac:dyDescent="0.3"/>
    <row r="20" spans="1:4" ht="14.4" x14ac:dyDescent="0.3"/>
    <row r="21" spans="1:4" ht="14.4" x14ac:dyDescent="0.3"/>
    <row r="22" spans="1:4" ht="14.4" customHeight="1" x14ac:dyDescent="0.3">
      <c r="A22" s="100" t="s">
        <v>138</v>
      </c>
      <c r="B22" s="100"/>
      <c r="C22" s="100"/>
      <c r="D22" s="100"/>
    </row>
    <row r="23" spans="1:4" ht="14.4" customHeight="1" x14ac:dyDescent="0.3">
      <c r="A23" s="96"/>
      <c r="B23" s="97"/>
      <c r="C23" s="98" t="str">
        <f>IFERROR(VLOOKUP(A23,DADOS!$O$27:$Q$31,3,0),"")</f>
        <v/>
      </c>
      <c r="D23" s="99"/>
    </row>
    <row r="24" spans="1:4" ht="14.4" customHeight="1" x14ac:dyDescent="0.3">
      <c r="A24" s="96"/>
      <c r="B24" s="97"/>
      <c r="C24" s="98" t="str">
        <f>IFERROR(VLOOKUP(A24,DADOS!$O$27:$Q$31,3,0),"")</f>
        <v/>
      </c>
      <c r="D24" s="99"/>
    </row>
    <row r="25" spans="1:4" ht="14.4" customHeight="1" x14ac:dyDescent="0.3">
      <c r="A25" s="96"/>
      <c r="B25" s="97"/>
      <c r="C25" s="98" t="str">
        <f>IFERROR(VLOOKUP(A25,DADOS!$O$27:$Q$31,3,0),"")</f>
        <v/>
      </c>
      <c r="D25" s="99"/>
    </row>
    <row r="26" spans="1:4" ht="14.4" customHeight="1" x14ac:dyDescent="0.3">
      <c r="A26" s="96"/>
      <c r="B26" s="97"/>
      <c r="C26" s="98" t="str">
        <f>IFERROR(VLOOKUP(A26,DADOS!$O$27:$Q$31,3,0),"")</f>
        <v/>
      </c>
      <c r="D26" s="99"/>
    </row>
    <row r="27" spans="1:4" ht="14.4" customHeight="1" x14ac:dyDescent="0.3">
      <c r="A27" s="96"/>
      <c r="B27" s="97"/>
      <c r="C27" s="98" t="str">
        <f>IFERROR(VLOOKUP(A27,DADOS!$O$27:$Q$31,3,0),"")</f>
        <v/>
      </c>
      <c r="D27" s="99"/>
    </row>
    <row r="28" spans="1:4" ht="14.4" x14ac:dyDescent="0.3">
      <c r="A28" s="96"/>
      <c r="B28" s="97"/>
      <c r="C28" s="98" t="str">
        <f>IFERROR(VLOOKUP(A28,DADOS!$O$27:$Q$31,3,0),"")</f>
        <v/>
      </c>
      <c r="D28" s="99"/>
    </row>
    <row r="29" spans="1:4" ht="14.4" x14ac:dyDescent="0.3">
      <c r="C29" s="91">
        <f>SUM(C23:D28)</f>
        <v>0</v>
      </c>
      <c r="D29" s="92"/>
    </row>
    <row r="30" spans="1:4" ht="14.4" x14ac:dyDescent="0.3">
      <c r="C30" s="93" t="str">
        <f>IFERROR(IF($C$29&gt;DADOS!$I$5,"ACIMA DO NECESSÁRIO",IF(AND($C$29&gt;=DADOS!F5,C$29&lt;=DADOS!$I$5),"DENTRO DO NECESSÁRIO",IF($C$29&lt;DADOS!$F$5,"ABAIXO DO NECESSÁRIO",""))),"-")</f>
        <v>-</v>
      </c>
      <c r="D30" s="94"/>
    </row>
    <row r="31" spans="1:4" ht="14.4" x14ac:dyDescent="0.3"/>
    <row r="32" spans="1:4" ht="14.4" x14ac:dyDescent="0.3"/>
    <row r="33" ht="14.4" x14ac:dyDescent="0.3"/>
    <row r="34" ht="14.4" x14ac:dyDescent="0.3"/>
    <row r="35" ht="14.4" x14ac:dyDescent="0.3"/>
    <row r="36" ht="14.4" x14ac:dyDescent="0.3"/>
    <row r="37" ht="14.4" x14ac:dyDescent="0.3"/>
    <row r="38" ht="14.4" x14ac:dyDescent="0.3"/>
    <row r="39" ht="14.4" x14ac:dyDescent="0.3"/>
    <row r="40" ht="14.4" x14ac:dyDescent="0.3"/>
    <row r="41" ht="14.4" x14ac:dyDescent="0.3"/>
    <row r="42" ht="14.4" x14ac:dyDescent="0.3"/>
    <row r="43" ht="14.4" x14ac:dyDescent="0.3"/>
    <row r="44" ht="14.4" customHeight="1" x14ac:dyDescent="0.3"/>
    <row r="45" ht="14.4" customHeight="1" x14ac:dyDescent="0.3"/>
    <row r="46" ht="14.4" customHeight="1" x14ac:dyDescent="0.3"/>
    <row r="48" ht="14.4" hidden="1" customHeight="1" x14ac:dyDescent="0.3"/>
    <row r="49" ht="14.4" hidden="1" customHeight="1" x14ac:dyDescent="0.3"/>
    <row r="50" ht="14.4" hidden="1" customHeight="1" x14ac:dyDescent="0.3"/>
    <row r="51" ht="14.4" hidden="1" customHeight="1" x14ac:dyDescent="0.3"/>
  </sheetData>
  <sheetProtection algorithmName="SHA-512" hashValue="TRuA+aBhgaIDl9LmfUyGki90OZ8Rqn8rro/nXJ3MLuzpv+NXo3L/8I1amsnTVrK4+VrFy+oTdGkD4OVzL9KZjA==" saltValue="CbAW2y/oW36+AlwwCKP39g==" spinCount="100000" sheet="1" objects="1" scenarios="1" selectLockedCells="1"/>
  <mergeCells count="20">
    <mergeCell ref="R2:S3"/>
    <mergeCell ref="P2:Q3"/>
    <mergeCell ref="A22:D22"/>
    <mergeCell ref="A23:B23"/>
    <mergeCell ref="C23:D23"/>
    <mergeCell ref="C29:D29"/>
    <mergeCell ref="C30:D30"/>
    <mergeCell ref="A5:A6"/>
    <mergeCell ref="B6:F7"/>
    <mergeCell ref="N2:O3"/>
    <mergeCell ref="A27:B27"/>
    <mergeCell ref="C27:D27"/>
    <mergeCell ref="A28:B28"/>
    <mergeCell ref="C28:D28"/>
    <mergeCell ref="A26:B26"/>
    <mergeCell ref="C26:D26"/>
    <mergeCell ref="A24:B24"/>
    <mergeCell ref="C24:D24"/>
    <mergeCell ref="A25:B25"/>
    <mergeCell ref="C25:D25"/>
  </mergeCells>
  <conditionalFormatting sqref="C29:D30">
    <cfRule type="expression" dxfId="5" priority="1">
      <formula>$C$30="ABAIXO DO NECESSÁRIO"</formula>
    </cfRule>
    <cfRule type="expression" dxfId="4" priority="2">
      <formula>$C$30="DENTRO DO NECESSÁRIO"</formula>
    </cfRule>
    <cfRule type="expression" dxfId="3" priority="3">
      <formula>$C$30="ACIMA DO NECESSÁRIO"</formula>
    </cfRule>
  </conditionalFormatting>
  <hyperlinks>
    <hyperlink ref="A5:A6" location="DIMENSIONAMENTO!A5" display="VOLTAR" xr:uid="{A77DE226-C3A1-4EB8-A829-5A3D2A471943}"/>
    <hyperlink ref="N2:O3" location="AJUDA!A1" display="AJUDA" xr:uid="{0B68EA61-2873-4A2A-8E4D-713A55A137E6}"/>
    <hyperlink ref="P2:Q3" location="'BOMBA DE CALOR'!A1" display="INICIO" xr:uid="{521434EE-D96D-4BFE-BFFD-2FAC1240F962}"/>
    <hyperlink ref="R2:S3" location="RELATÓRIO!A1" display="RELATÓRIO" xr:uid="{5E705B30-7D89-4276-BC81-1655EF8A8331}"/>
  </hyperlinks>
  <pageMargins left="0.511811024" right="0.511811024" top="0.78740157499999996" bottom="0.78740157499999996" header="0.31496062000000002" footer="0.31496062000000002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0FA757-178B-4E5C-834E-3694A4B8FBB7}">
          <x14:formula1>
            <xm:f>DADOS!$O$27:$O$31</xm:f>
          </x14:formula1>
          <xm:sqref>A23:A28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E6ED-DD7E-4FC9-B65D-CA24539DEFB8}">
  <sheetPr codeName="Planilha3"/>
  <dimension ref="A1:AS50"/>
  <sheetViews>
    <sheetView showGridLines="0" zoomScale="85" zoomScaleNormal="85" workbookViewId="0">
      <selection activeCell="G6" sqref="G6"/>
    </sheetView>
  </sheetViews>
  <sheetFormatPr defaultRowHeight="14.4" x14ac:dyDescent="0.3"/>
  <cols>
    <col min="1" max="1" width="41.21875" bestFit="1" customWidth="1"/>
    <col min="2" max="2" width="13.5546875" customWidth="1"/>
    <col min="5" max="5" width="13.6640625" customWidth="1"/>
    <col min="6" max="6" width="11.5546875" bestFit="1" customWidth="1"/>
    <col min="12" max="12" width="25.33203125" customWidth="1"/>
    <col min="13" max="13" width="11.21875" customWidth="1"/>
    <col min="14" max="14" width="8.88671875" customWidth="1"/>
    <col min="15" max="15" width="24.88671875" customWidth="1"/>
    <col min="16" max="16" width="15.5546875" customWidth="1"/>
    <col min="17" max="17" width="8.88671875" customWidth="1"/>
    <col min="18" max="18" width="19" customWidth="1"/>
    <col min="19" max="19" width="17.44140625" customWidth="1"/>
    <col min="20" max="20" width="8.88671875" customWidth="1"/>
    <col min="21" max="21" width="19.6640625" customWidth="1"/>
    <col min="22" max="22" width="19.5546875" customWidth="1"/>
    <col min="23" max="23" width="8.88671875" customWidth="1"/>
    <col min="24" max="24" width="16.6640625" customWidth="1"/>
    <col min="25" max="25" width="22.21875" bestFit="1" customWidth="1"/>
    <col min="27" max="27" width="10.33203125" bestFit="1" customWidth="1"/>
    <col min="28" max="34" width="15.77734375" customWidth="1"/>
    <col min="38" max="38" width="46.6640625" bestFit="1" customWidth="1"/>
    <col min="39" max="39" width="8.88671875" style="40"/>
    <col min="40" max="45" width="15.77734375" customWidth="1"/>
  </cols>
  <sheetData>
    <row r="1" spans="1:45" x14ac:dyDescent="0.3">
      <c r="A1" s="2" t="s">
        <v>0</v>
      </c>
      <c r="B1" s="5">
        <f>DIMENSIONAMENTO!C26</f>
        <v>0</v>
      </c>
      <c r="E1" t="s">
        <v>12</v>
      </c>
      <c r="F1">
        <f>B4*B22*1.16</f>
        <v>0</v>
      </c>
      <c r="L1" s="103" t="s">
        <v>92</v>
      </c>
      <c r="M1" s="103"/>
      <c r="O1" s="104" t="s">
        <v>129</v>
      </c>
      <c r="P1" s="104"/>
      <c r="R1" s="104" t="s">
        <v>129</v>
      </c>
      <c r="S1" s="104"/>
      <c r="U1" s="104" t="s">
        <v>94</v>
      </c>
      <c r="V1" s="104"/>
      <c r="AC1" s="108" t="s">
        <v>168</v>
      </c>
      <c r="AD1" s="108"/>
      <c r="AG1" s="105" t="s">
        <v>291</v>
      </c>
      <c r="AH1" s="105"/>
      <c r="AN1" s="39" t="s">
        <v>32</v>
      </c>
      <c r="AO1" s="39" t="s">
        <v>37</v>
      </c>
      <c r="AP1" s="39" t="s">
        <v>33</v>
      </c>
      <c r="AQ1" s="39" t="s">
        <v>34</v>
      </c>
      <c r="AR1" s="39" t="s">
        <v>35</v>
      </c>
      <c r="AS1" s="39" t="s">
        <v>36</v>
      </c>
    </row>
    <row r="2" spans="1:45" x14ac:dyDescent="0.3">
      <c r="A2" s="3" t="s">
        <v>1</v>
      </c>
      <c r="B2" s="5">
        <f>DIMENSIONAMENTO!C28</f>
        <v>0</v>
      </c>
      <c r="E2" t="s">
        <v>13</v>
      </c>
      <c r="F2">
        <f>F1/B39</f>
        <v>0</v>
      </c>
      <c r="L2" s="103" t="s">
        <v>19</v>
      </c>
      <c r="M2" s="103"/>
      <c r="O2" s="104" t="s">
        <v>38</v>
      </c>
      <c r="P2" s="104"/>
      <c r="R2" s="104" t="s">
        <v>95</v>
      </c>
      <c r="S2" s="104"/>
      <c r="U2" s="104" t="s">
        <v>102</v>
      </c>
      <c r="V2" s="104"/>
      <c r="X2" s="26" t="s">
        <v>149</v>
      </c>
      <c r="Y2" s="26" t="s">
        <v>148</v>
      </c>
      <c r="AB2" s="26" t="s">
        <v>153</v>
      </c>
      <c r="AC2" s="31" t="s">
        <v>166</v>
      </c>
      <c r="AD2" s="31" t="s">
        <v>167</v>
      </c>
      <c r="AG2" s="60" t="s">
        <v>166</v>
      </c>
      <c r="AH2" s="60" t="s">
        <v>167</v>
      </c>
      <c r="AL2" s="101" t="s">
        <v>195</v>
      </c>
      <c r="AM2" s="44" t="s">
        <v>166</v>
      </c>
      <c r="AN2" s="43" t="s">
        <v>258</v>
      </c>
      <c r="AO2" s="43" t="s">
        <v>259</v>
      </c>
      <c r="AP2" s="43" t="s">
        <v>235</v>
      </c>
      <c r="AQ2" s="43" t="s">
        <v>246</v>
      </c>
      <c r="AR2" s="43" t="s">
        <v>257</v>
      </c>
      <c r="AS2" s="43" t="s">
        <v>269</v>
      </c>
    </row>
    <row r="3" spans="1:45" x14ac:dyDescent="0.3">
      <c r="A3" s="4" t="s">
        <v>2</v>
      </c>
      <c r="B3" s="6">
        <f>DIMENSIONAMENTO!C30</f>
        <v>0</v>
      </c>
      <c r="E3" t="s">
        <v>146</v>
      </c>
      <c r="F3" t="e">
        <f>(F2+C27+C28+C29)*C26*C31*C33</f>
        <v>#N/A</v>
      </c>
      <c r="L3" s="11" t="s">
        <v>25</v>
      </c>
      <c r="M3" s="14" t="s">
        <v>20</v>
      </c>
      <c r="O3" s="11" t="s">
        <v>39</v>
      </c>
      <c r="P3" s="14" t="s">
        <v>44</v>
      </c>
      <c r="R3" s="11" t="s">
        <v>49</v>
      </c>
      <c r="S3" s="16" t="s">
        <v>76</v>
      </c>
      <c r="U3" s="11" t="s">
        <v>49</v>
      </c>
      <c r="V3" s="16" t="s">
        <v>103</v>
      </c>
      <c r="X3" s="34">
        <v>12</v>
      </c>
      <c r="Y3" s="11">
        <v>1.2</v>
      </c>
      <c r="Z3" s="53">
        <v>0.65</v>
      </c>
      <c r="AA3" s="56">
        <v>45658</v>
      </c>
      <c r="AB3" s="11" t="s">
        <v>154</v>
      </c>
      <c r="AC3" s="57" t="e">
        <f>$AD$20*(DIMENSIONAMENTO!$O$38/(DIMENSIONAMENTO!$I$28-DIMENSIONAMENTO!$I$26))*DADOS!Z3*DAY(EOMONTH(AA3,0))*RIGHT(HLOOKUP($A$42,$AN$1:$AS$22,4,0),4)</f>
        <v>#DIV/0!</v>
      </c>
      <c r="AD3" s="37" t="e">
        <f>AC3*$AD$20</f>
        <v>#DIV/0!</v>
      </c>
      <c r="AG3" s="10" t="e">
        <f>$AD$20*DIMENSIONAMENTO!$O$38/(DIMENSIONAMENTO!$I$28-DIMENSIONAMENTO!$I$26)*Z3*IF($AF$23&lt;&gt;"",$AD$31,DAY(EOMONTH(AA3,0)))*RIGHT(HLOOKUP($A$42,$AN$1:$AS$22,4,0),4)</f>
        <v>#DIV/0!</v>
      </c>
      <c r="AH3" s="37" t="e">
        <f>AG3*$AD$20</f>
        <v>#DIV/0!</v>
      </c>
      <c r="AL3" s="102"/>
      <c r="AM3" s="45" t="s">
        <v>190</v>
      </c>
      <c r="AN3" s="43" t="s">
        <v>215</v>
      </c>
      <c r="AO3" s="43" t="s">
        <v>228</v>
      </c>
      <c r="AP3" s="43" t="s">
        <v>236</v>
      </c>
      <c r="AQ3" s="43" t="s">
        <v>247</v>
      </c>
      <c r="AR3" s="43" t="s">
        <v>260</v>
      </c>
      <c r="AS3" s="43" t="s">
        <v>270</v>
      </c>
    </row>
    <row r="4" spans="1:45" x14ac:dyDescent="0.3">
      <c r="B4" s="1">
        <f>IF(DIMENSIONAMENTO!E37="",B1*B2*B3+B12,(DIMENSIONAMENTO!E37/1000))</f>
        <v>0</v>
      </c>
      <c r="C4" s="1" t="s">
        <v>3</v>
      </c>
      <c r="E4" t="s">
        <v>147</v>
      </c>
      <c r="F4" s="7" t="e">
        <f>F3*3412.14</f>
        <v>#N/A</v>
      </c>
      <c r="G4" t="s">
        <v>15</v>
      </c>
      <c r="L4" s="11" t="s">
        <v>28</v>
      </c>
      <c r="M4" s="14" t="s">
        <v>23</v>
      </c>
      <c r="O4" s="11" t="s">
        <v>40</v>
      </c>
      <c r="P4" s="14" t="s">
        <v>45</v>
      </c>
      <c r="R4" s="11" t="s">
        <v>50</v>
      </c>
      <c r="S4" s="16" t="s">
        <v>77</v>
      </c>
      <c r="U4" s="11" t="s">
        <v>50</v>
      </c>
      <c r="V4" s="16" t="s">
        <v>104</v>
      </c>
      <c r="X4" s="34">
        <v>13</v>
      </c>
      <c r="Y4" s="11">
        <v>1.1850000000000001</v>
      </c>
      <c r="Z4" s="53">
        <v>1.04</v>
      </c>
      <c r="AA4" s="56">
        <v>45689</v>
      </c>
      <c r="AB4" s="11" t="s">
        <v>155</v>
      </c>
      <c r="AC4" s="57" t="e">
        <f>$AD$20*(DIMENSIONAMENTO!$O$38/(DIMENSIONAMENTO!$I$28-DIMENSIONAMENTO!$I$26))*DADOS!Z4*DAY(EOMONTH(AA4,0))*RIGHT(HLOOKUP($A$42,$AN$1:$AS$22,4,0),4)</f>
        <v>#DIV/0!</v>
      </c>
      <c r="AD4" s="37" t="e">
        <f t="shared" ref="AD4:AD14" si="0">AC4*$AD$20</f>
        <v>#DIV/0!</v>
      </c>
      <c r="AG4" s="10" t="e">
        <f>$AD$20*DIMENSIONAMENTO!$O$38/(DIMENSIONAMENTO!$I$28-DIMENSIONAMENTO!$I$26)*Z4*IF($AF$23&lt;&gt;"",$AD$31,DAY(EOMONTH(AA4,0)))*RIGHT(HLOOKUP($A$42,$AN$1:$AS$22,4,0),4)</f>
        <v>#DIV/0!</v>
      </c>
      <c r="AH4" s="37" t="e">
        <f t="shared" ref="AH4:AH14" si="1">AG4*$AD$20</f>
        <v>#DIV/0!</v>
      </c>
      <c r="AL4" s="41" t="s">
        <v>193</v>
      </c>
      <c r="AM4" s="45" t="s">
        <v>191</v>
      </c>
      <c r="AN4" s="43" t="s">
        <v>216</v>
      </c>
      <c r="AO4" s="43" t="s">
        <v>229</v>
      </c>
      <c r="AP4" s="43" t="s">
        <v>237</v>
      </c>
      <c r="AQ4" s="43" t="s">
        <v>248</v>
      </c>
      <c r="AR4" s="43" t="s">
        <v>287</v>
      </c>
      <c r="AS4" s="43" t="s">
        <v>288</v>
      </c>
    </row>
    <row r="5" spans="1:45" x14ac:dyDescent="0.3">
      <c r="B5" s="9" t="str">
        <f>ROUNDUP(B4,1)&amp;C4</f>
        <v>0M³</v>
      </c>
      <c r="F5" s="8" t="e">
        <f>ROUNDUP(F4,0)</f>
        <v>#N/A</v>
      </c>
      <c r="G5" s="9" t="str">
        <f>IFERROR(F5&amp;" BTU/h","-")</f>
        <v>-</v>
      </c>
      <c r="I5" s="38" t="e">
        <f>F5*1.15</f>
        <v>#N/A</v>
      </c>
      <c r="L5" s="11" t="s">
        <v>27</v>
      </c>
      <c r="M5" s="14" t="s">
        <v>23</v>
      </c>
      <c r="O5" s="11" t="s">
        <v>41</v>
      </c>
      <c r="P5" s="14" t="s">
        <v>46</v>
      </c>
      <c r="R5" s="11" t="s">
        <v>51</v>
      </c>
      <c r="S5" s="16" t="s">
        <v>78</v>
      </c>
      <c r="U5" s="11" t="s">
        <v>51</v>
      </c>
      <c r="V5" s="16" t="s">
        <v>105</v>
      </c>
      <c r="X5" s="34">
        <v>14</v>
      </c>
      <c r="Y5" s="11">
        <v>1.169</v>
      </c>
      <c r="Z5" s="53">
        <v>1.4300000000000002</v>
      </c>
      <c r="AA5" s="56">
        <v>45717</v>
      </c>
      <c r="AB5" s="11" t="s">
        <v>156</v>
      </c>
      <c r="AC5" s="57" t="e">
        <f>$AD$20*(DIMENSIONAMENTO!$O$38/(DIMENSIONAMENTO!$I$28-DIMENSIONAMENTO!$I$26))*DADOS!Z5*DAY(EOMONTH(AA5,0))*RIGHT(HLOOKUP($A$42,$AN$1:$AS$22,4,0),4)</f>
        <v>#DIV/0!</v>
      </c>
      <c r="AD5" s="37" t="e">
        <f t="shared" si="0"/>
        <v>#DIV/0!</v>
      </c>
      <c r="AG5" s="10" t="e">
        <f>$AD$20*DIMENSIONAMENTO!$O$38/(DIMENSIONAMENTO!$I$28-DIMENSIONAMENTO!$I$26)*Z5*IF($AF$23&lt;&gt;"",$AD$31,DAY(EOMONTH(AA5,0)))*RIGHT(HLOOKUP($A$42,$AN$1:$AS$22,4,0),4)</f>
        <v>#DIV/0!</v>
      </c>
      <c r="AH5" s="37" t="e">
        <f t="shared" si="1"/>
        <v>#DIV/0!</v>
      </c>
      <c r="AL5" s="41" t="s">
        <v>192</v>
      </c>
      <c r="AM5" s="45"/>
      <c r="AN5" s="43" t="s">
        <v>217</v>
      </c>
      <c r="AO5" s="43" t="s">
        <v>230</v>
      </c>
      <c r="AP5" s="43" t="s">
        <v>238</v>
      </c>
      <c r="AQ5" s="43" t="s">
        <v>230</v>
      </c>
      <c r="AR5" s="43" t="s">
        <v>261</v>
      </c>
      <c r="AS5" s="43" t="s">
        <v>261</v>
      </c>
    </row>
    <row r="6" spans="1:45" x14ac:dyDescent="0.3">
      <c r="A6" s="4" t="s">
        <v>144</v>
      </c>
      <c r="B6" s="1">
        <f>B1*B2+B14</f>
        <v>0</v>
      </c>
      <c r="C6" s="1" t="s">
        <v>145</v>
      </c>
      <c r="L6" s="11" t="s">
        <v>29</v>
      </c>
      <c r="M6" s="14" t="s">
        <v>30</v>
      </c>
      <c r="O6" s="11" t="s">
        <v>42</v>
      </c>
      <c r="P6" s="14" t="s">
        <v>47</v>
      </c>
      <c r="R6" s="11" t="s">
        <v>52</v>
      </c>
      <c r="S6" s="16" t="s">
        <v>79</v>
      </c>
      <c r="U6" s="11" t="s">
        <v>52</v>
      </c>
      <c r="V6" s="16" t="s">
        <v>103</v>
      </c>
      <c r="X6" s="34">
        <v>15</v>
      </c>
      <c r="Y6" s="11">
        <v>1.1539999999999999</v>
      </c>
      <c r="Z6" s="53">
        <v>2.21</v>
      </c>
      <c r="AA6" s="56">
        <v>45748</v>
      </c>
      <c r="AB6" s="11" t="s">
        <v>157</v>
      </c>
      <c r="AC6" s="57" t="e">
        <f>$AD$20*(DIMENSIONAMENTO!$O$38/(DIMENSIONAMENTO!$I$28-DIMENSIONAMENTO!$I$26))*DADOS!Z6*DAY(EOMONTH(AA6,0))*RIGHT(HLOOKUP($A$42,$AN$1:$AS$22,4,0),4)</f>
        <v>#DIV/0!</v>
      </c>
      <c r="AD6" s="37" t="e">
        <f t="shared" si="0"/>
        <v>#DIV/0!</v>
      </c>
      <c r="AG6" s="10" t="e">
        <f>$AD$20*DIMENSIONAMENTO!$O$38/(DIMENSIONAMENTO!$I$28-DIMENSIONAMENTO!$I$26)*Z6*IF($AF$23&lt;&gt;"",$AD$31,DAY(EOMONTH(AA6,0)))*RIGHT(HLOOKUP($A$42,$AN$1:$AS$22,4,0),4)</f>
        <v>#DIV/0!</v>
      </c>
      <c r="AH6" s="37" t="e">
        <f t="shared" si="1"/>
        <v>#DIV/0!</v>
      </c>
      <c r="AL6" s="101" t="s">
        <v>194</v>
      </c>
      <c r="AM6" s="44" t="s">
        <v>166</v>
      </c>
      <c r="AN6" s="43" t="s">
        <v>219</v>
      </c>
      <c r="AO6" s="43" t="s">
        <v>231</v>
      </c>
      <c r="AP6" s="43" t="s">
        <v>239</v>
      </c>
      <c r="AQ6" s="43" t="s">
        <v>249</v>
      </c>
      <c r="AR6" s="43" t="s">
        <v>262</v>
      </c>
      <c r="AS6" s="43" t="s">
        <v>271</v>
      </c>
    </row>
    <row r="7" spans="1:45" x14ac:dyDescent="0.3">
      <c r="L7" s="11" t="s">
        <v>26</v>
      </c>
      <c r="M7" s="14" t="s">
        <v>22</v>
      </c>
      <c r="O7" s="11" t="s">
        <v>43</v>
      </c>
      <c r="P7" s="14" t="s">
        <v>48</v>
      </c>
      <c r="R7" s="11" t="s">
        <v>53</v>
      </c>
      <c r="S7" s="16" t="s">
        <v>80</v>
      </c>
      <c r="U7" s="11" t="s">
        <v>53</v>
      </c>
      <c r="V7" s="16" t="s">
        <v>106</v>
      </c>
      <c r="X7" s="34">
        <v>16</v>
      </c>
      <c r="Y7" s="11">
        <v>1.1379999999999999</v>
      </c>
      <c r="Z7" s="53">
        <v>3.6399999999999997</v>
      </c>
      <c r="AA7" s="56">
        <v>45778</v>
      </c>
      <c r="AB7" s="11" t="s">
        <v>158</v>
      </c>
      <c r="AC7" s="57" t="e">
        <f>$AD$20*(DIMENSIONAMENTO!$O$38/(DIMENSIONAMENTO!$I$28-DIMENSIONAMENTO!$I$26))*DADOS!Z7*DAY(EOMONTH(AA7,0))*RIGHT(HLOOKUP($A$42,$AN$1:$AS$22,4,0),4)</f>
        <v>#DIV/0!</v>
      </c>
      <c r="AD7" s="37" t="e">
        <f t="shared" si="0"/>
        <v>#DIV/0!</v>
      </c>
      <c r="AG7" s="10" t="e">
        <f>$AD$20*DIMENSIONAMENTO!$O$38/(DIMENSIONAMENTO!$I$28-DIMENSIONAMENTO!$I$26)*Z7*IF($AF$23&lt;&gt;"",$AD$31,DAY(EOMONTH(AA7,0)))*RIGHT(HLOOKUP($A$42,$AN$1:$AS$22,4,0),4)</f>
        <v>#DIV/0!</v>
      </c>
      <c r="AH7" s="37" t="e">
        <f t="shared" si="1"/>
        <v>#DIV/0!</v>
      </c>
      <c r="AL7" s="102"/>
      <c r="AM7" s="45" t="s">
        <v>190</v>
      </c>
      <c r="AN7" s="43" t="s">
        <v>218</v>
      </c>
      <c r="AO7" s="43" t="s">
        <v>232</v>
      </c>
      <c r="AP7" s="43" t="s">
        <v>240</v>
      </c>
      <c r="AQ7" s="43" t="s">
        <v>250</v>
      </c>
      <c r="AR7" s="43" t="s">
        <v>263</v>
      </c>
      <c r="AS7" s="43" t="s">
        <v>272</v>
      </c>
    </row>
    <row r="8" spans="1:45" x14ac:dyDescent="0.3">
      <c r="A8" t="s">
        <v>142</v>
      </c>
      <c r="L8" s="10" t="s">
        <v>24</v>
      </c>
      <c r="M8" s="15" t="s">
        <v>21</v>
      </c>
      <c r="R8" s="11" t="s">
        <v>54</v>
      </c>
      <c r="S8" s="16" t="s">
        <v>81</v>
      </c>
      <c r="U8" s="11" t="s">
        <v>54</v>
      </c>
      <c r="V8" s="16" t="s">
        <v>107</v>
      </c>
      <c r="X8" s="34">
        <v>17</v>
      </c>
      <c r="Y8" s="11">
        <v>1.123</v>
      </c>
      <c r="Z8" s="53">
        <v>5.9799999999999995</v>
      </c>
      <c r="AA8" s="56">
        <v>45809</v>
      </c>
      <c r="AB8" s="11" t="s">
        <v>159</v>
      </c>
      <c r="AC8" s="57" t="e">
        <f>$AD$20*(DIMENSIONAMENTO!$O$38/(DIMENSIONAMENTO!$I$28-DIMENSIONAMENTO!$I$26))*DADOS!Z8*DAY(EOMONTH(AA8,0))*RIGHT(HLOOKUP($A$42,$AN$1:$AS$22,4,0),4)</f>
        <v>#DIV/0!</v>
      </c>
      <c r="AD8" s="37" t="e">
        <f t="shared" si="0"/>
        <v>#DIV/0!</v>
      </c>
      <c r="AG8" s="10" t="e">
        <f>$AD$20*DIMENSIONAMENTO!$O$38/(DIMENSIONAMENTO!$I$28-DIMENSIONAMENTO!$I$26)*Z8*IF($AF$23&lt;&gt;"",$AD$31,DAY(EOMONTH(AA8,0)))*RIGHT(HLOOKUP($A$42,$AN$1:$AS$22,4,0),4)</f>
        <v>#DIV/0!</v>
      </c>
      <c r="AH8" s="37" t="e">
        <f t="shared" si="1"/>
        <v>#DIV/0!</v>
      </c>
      <c r="AL8" s="41" t="s">
        <v>193</v>
      </c>
      <c r="AM8" s="45" t="s">
        <v>191</v>
      </c>
      <c r="AN8" s="43" t="s">
        <v>220</v>
      </c>
      <c r="AO8" s="43" t="s">
        <v>290</v>
      </c>
      <c r="AP8" s="43" t="s">
        <v>241</v>
      </c>
      <c r="AQ8" s="43" t="s">
        <v>251</v>
      </c>
      <c r="AR8" s="43" t="s">
        <v>289</v>
      </c>
      <c r="AS8" s="43" t="s">
        <v>273</v>
      </c>
    </row>
    <row r="9" spans="1:45" x14ac:dyDescent="0.3">
      <c r="A9" s="27" t="s">
        <v>0</v>
      </c>
      <c r="B9" s="5">
        <f>DIMENSIONAMENTO!C35</f>
        <v>0</v>
      </c>
      <c r="R9" s="11" t="s">
        <v>55</v>
      </c>
      <c r="S9" s="16" t="s">
        <v>82</v>
      </c>
      <c r="U9" s="11" t="s">
        <v>55</v>
      </c>
      <c r="V9" s="16" t="s">
        <v>108</v>
      </c>
      <c r="X9" s="34">
        <v>18</v>
      </c>
      <c r="Y9" s="11">
        <v>1.1080000000000001</v>
      </c>
      <c r="Z9" s="53">
        <v>6.5</v>
      </c>
      <c r="AA9" s="56">
        <v>45839</v>
      </c>
      <c r="AB9" s="11" t="s">
        <v>160</v>
      </c>
      <c r="AC9" s="57" t="e">
        <f>$AD$20*(DIMENSIONAMENTO!$O$38/(DIMENSIONAMENTO!$I$28-DIMENSIONAMENTO!$I$26))*DADOS!Z9*DAY(EOMONTH(AA9,0))*RIGHT(HLOOKUP($A$42,$AN$1:$AS$22,4,0),4)</f>
        <v>#DIV/0!</v>
      </c>
      <c r="AD9" s="37" t="e">
        <f t="shared" si="0"/>
        <v>#DIV/0!</v>
      </c>
      <c r="AG9" s="10" t="e">
        <f>$AD$20*DIMENSIONAMENTO!$O$38/(DIMENSIONAMENTO!$I$28-DIMENSIONAMENTO!$I$26)*Z9*IF($AF$23&lt;&gt;"",$AD$31,DAY(EOMONTH(AA9,0)))*RIGHT(HLOOKUP($A$42,$AN$1:$AS$22,4,0),4)</f>
        <v>#DIV/0!</v>
      </c>
      <c r="AH9" s="37" t="e">
        <f t="shared" si="1"/>
        <v>#DIV/0!</v>
      </c>
      <c r="AL9" s="41" t="s">
        <v>192</v>
      </c>
      <c r="AM9" s="45"/>
      <c r="AN9" s="43" t="s">
        <v>221</v>
      </c>
      <c r="AO9" s="43" t="s">
        <v>233</v>
      </c>
      <c r="AP9" s="43" t="s">
        <v>242</v>
      </c>
      <c r="AQ9" s="43" t="s">
        <v>252</v>
      </c>
      <c r="AR9" s="43" t="s">
        <v>264</v>
      </c>
      <c r="AS9" s="43" t="s">
        <v>274</v>
      </c>
    </row>
    <row r="10" spans="1:45" x14ac:dyDescent="0.3">
      <c r="A10" s="28" t="s">
        <v>1</v>
      </c>
      <c r="B10" s="5">
        <f>DIMENSIONAMENTO!C37</f>
        <v>0</v>
      </c>
      <c r="R10" s="11" t="s">
        <v>56</v>
      </c>
      <c r="S10" s="16" t="s">
        <v>83</v>
      </c>
      <c r="U10" s="11" t="s">
        <v>56</v>
      </c>
      <c r="V10" s="16" t="s">
        <v>105</v>
      </c>
      <c r="X10" s="34">
        <v>19</v>
      </c>
      <c r="Y10" s="11">
        <v>1.0920000000000001</v>
      </c>
      <c r="Z10" s="53">
        <v>5.07</v>
      </c>
      <c r="AA10" s="56">
        <v>45870</v>
      </c>
      <c r="AB10" s="11" t="s">
        <v>161</v>
      </c>
      <c r="AC10" s="57" t="e">
        <f>$AD$20*(DIMENSIONAMENTO!$O$38/(DIMENSIONAMENTO!$I$28-DIMENSIONAMENTO!$I$26))*DADOS!Z10*DAY(EOMONTH(AA10,0))*RIGHT(HLOOKUP($A$42,$AN$1:$AS$22,4,0),4)</f>
        <v>#DIV/0!</v>
      </c>
      <c r="AD10" s="37" t="e">
        <f t="shared" si="0"/>
        <v>#DIV/0!</v>
      </c>
      <c r="AG10" s="10" t="e">
        <f>$AD$20*DIMENSIONAMENTO!$O$38/(DIMENSIONAMENTO!$I$28-DIMENSIONAMENTO!$I$26)*Z10*IF($AF$23&lt;&gt;"",$AD$31,DAY(EOMONTH(AA10,0)))*RIGHT(HLOOKUP($A$42,$AN$1:$AS$22,4,0),4)</f>
        <v>#DIV/0!</v>
      </c>
      <c r="AH10" s="37" t="e">
        <f t="shared" si="1"/>
        <v>#DIV/0!</v>
      </c>
      <c r="AL10" s="41" t="s">
        <v>196</v>
      </c>
      <c r="AM10" s="45"/>
      <c r="AN10" s="43" t="s">
        <v>222</v>
      </c>
      <c r="AO10" s="43" t="s">
        <v>222</v>
      </c>
      <c r="AP10" s="43" t="s">
        <v>222</v>
      </c>
      <c r="AQ10" s="43" t="s">
        <v>222</v>
      </c>
      <c r="AR10" s="43" t="s">
        <v>222</v>
      </c>
      <c r="AS10" s="43" t="s">
        <v>275</v>
      </c>
    </row>
    <row r="11" spans="1:45" x14ac:dyDescent="0.3">
      <c r="A11" s="29" t="s">
        <v>2</v>
      </c>
      <c r="B11" s="6">
        <f>DIMENSIONAMENTO!C39</f>
        <v>0</v>
      </c>
      <c r="R11" s="11" t="s">
        <v>57</v>
      </c>
      <c r="S11" s="16" t="s">
        <v>84</v>
      </c>
      <c r="U11" s="11" t="s">
        <v>57</v>
      </c>
      <c r="V11" s="16" t="s">
        <v>108</v>
      </c>
      <c r="X11" s="34">
        <v>20</v>
      </c>
      <c r="Y11" s="11">
        <v>1.077</v>
      </c>
      <c r="Z11" s="53">
        <v>3.5100000000000002</v>
      </c>
      <c r="AA11" s="56">
        <v>45901</v>
      </c>
      <c r="AB11" s="11" t="s">
        <v>162</v>
      </c>
      <c r="AC11" s="57" t="e">
        <f>$AD$20*(DIMENSIONAMENTO!$O$38/(DIMENSIONAMENTO!$I$28-DIMENSIONAMENTO!$I$26))*DADOS!Z11*DAY(EOMONTH(AA11,0))*RIGHT(HLOOKUP($A$42,$AN$1:$AS$22,4,0),4)</f>
        <v>#DIV/0!</v>
      </c>
      <c r="AD11" s="37" t="e">
        <f t="shared" si="0"/>
        <v>#DIV/0!</v>
      </c>
      <c r="AG11" s="10" t="e">
        <f>$AD$20*DIMENSIONAMENTO!$O$38/(DIMENSIONAMENTO!$I$28-DIMENSIONAMENTO!$I$26)*Z11*IF($AF$23&lt;&gt;"",$AD$31,DAY(EOMONTH(AA11,0)))*RIGHT(HLOOKUP($A$42,$AN$1:$AS$22,4,0),4)</f>
        <v>#DIV/0!</v>
      </c>
      <c r="AH11" s="37" t="e">
        <f t="shared" si="1"/>
        <v>#DIV/0!</v>
      </c>
      <c r="AL11" s="41" t="s">
        <v>197</v>
      </c>
      <c r="AM11" s="45"/>
      <c r="AN11" s="43">
        <v>1</v>
      </c>
      <c r="AO11" s="43">
        <v>1</v>
      </c>
      <c r="AP11" s="43">
        <v>1</v>
      </c>
      <c r="AQ11" s="43">
        <v>1</v>
      </c>
      <c r="AR11" s="43">
        <v>1</v>
      </c>
      <c r="AS11" s="43">
        <v>1</v>
      </c>
    </row>
    <row r="12" spans="1:45" x14ac:dyDescent="0.3">
      <c r="B12" s="30">
        <f>B9*B10*B11</f>
        <v>0</v>
      </c>
      <c r="C12" s="30" t="s">
        <v>3</v>
      </c>
      <c r="R12" s="11" t="s">
        <v>58</v>
      </c>
      <c r="S12" s="16" t="s">
        <v>79</v>
      </c>
      <c r="U12" s="11" t="s">
        <v>58</v>
      </c>
      <c r="V12" s="16" t="s">
        <v>104</v>
      </c>
      <c r="X12" s="34">
        <v>21</v>
      </c>
      <c r="Y12" s="11">
        <v>1.0620000000000001</v>
      </c>
      <c r="Z12" s="53">
        <v>2.3400000000000003</v>
      </c>
      <c r="AA12" s="56">
        <v>45931</v>
      </c>
      <c r="AB12" s="11" t="s">
        <v>163</v>
      </c>
      <c r="AC12" s="57" t="e">
        <f>$AD$20*(DIMENSIONAMENTO!$O$38/(DIMENSIONAMENTO!$I$28-DIMENSIONAMENTO!$I$26))*DADOS!Z12*DAY(EOMONTH(AA12,0))*RIGHT(HLOOKUP($A$42,$AN$1:$AS$22,4,0),4)</f>
        <v>#DIV/0!</v>
      </c>
      <c r="AD12" s="37" t="e">
        <f t="shared" si="0"/>
        <v>#DIV/0!</v>
      </c>
      <c r="AG12" s="10" t="e">
        <f>$AD$20*DIMENSIONAMENTO!$O$38/(DIMENSIONAMENTO!$I$28-DIMENSIONAMENTO!$I$26)*Z12*IF($AF$23&lt;&gt;"",$AD$31,DAY(EOMONTH(AA12,0)))*RIGHT(HLOOKUP($A$42,$AN$1:$AS$22,4,0),4)</f>
        <v>#DIV/0!</v>
      </c>
      <c r="AH12" s="37" t="e">
        <f t="shared" si="1"/>
        <v>#DIV/0!</v>
      </c>
      <c r="AL12" s="41" t="s">
        <v>198</v>
      </c>
      <c r="AM12" s="46"/>
      <c r="AN12" s="43" t="s">
        <v>223</v>
      </c>
      <c r="AO12" s="43" t="s">
        <v>223</v>
      </c>
      <c r="AP12" s="43" t="s">
        <v>223</v>
      </c>
      <c r="AQ12" s="43" t="s">
        <v>223</v>
      </c>
      <c r="AR12" s="43" t="s">
        <v>223</v>
      </c>
      <c r="AS12" s="43" t="s">
        <v>223</v>
      </c>
    </row>
    <row r="13" spans="1:45" x14ac:dyDescent="0.3">
      <c r="O13" s="104" t="s">
        <v>94</v>
      </c>
      <c r="P13" s="104"/>
      <c r="R13" s="11" t="s">
        <v>59</v>
      </c>
      <c r="S13" s="16" t="s">
        <v>77</v>
      </c>
      <c r="U13" s="11" t="s">
        <v>59</v>
      </c>
      <c r="V13" s="16" t="s">
        <v>108</v>
      </c>
      <c r="X13" s="34">
        <v>22</v>
      </c>
      <c r="Y13" s="11">
        <v>1.046</v>
      </c>
      <c r="Z13" s="53">
        <v>1.3</v>
      </c>
      <c r="AA13" s="56">
        <v>45962</v>
      </c>
      <c r="AB13" s="11" t="s">
        <v>164</v>
      </c>
      <c r="AC13" s="57" t="e">
        <f>$AD$20*(DIMENSIONAMENTO!$O$38/(DIMENSIONAMENTO!$I$28-DIMENSIONAMENTO!$I$26))*DADOS!Z13*DAY(EOMONTH(AA13,0))*RIGHT(HLOOKUP($A$42,$AN$1:$AS$22,4,0),4)</f>
        <v>#DIV/0!</v>
      </c>
      <c r="AD13" s="37" t="e">
        <f t="shared" si="0"/>
        <v>#DIV/0!</v>
      </c>
      <c r="AG13" s="10" t="e">
        <f>$AD$20*DIMENSIONAMENTO!$O$38/(DIMENSIONAMENTO!$I$28-DIMENSIONAMENTO!$I$26)*Z13*IF($AF$23&lt;&gt;"",$AD$31,DAY(EOMONTH(AA13,0)))*RIGHT(HLOOKUP($A$42,$AN$1:$AS$22,4,0),4)</f>
        <v>#DIV/0!</v>
      </c>
      <c r="AH13" s="37" t="e">
        <f t="shared" si="1"/>
        <v>#DIV/0!</v>
      </c>
      <c r="AL13" s="41" t="s">
        <v>199</v>
      </c>
      <c r="AM13" s="46"/>
      <c r="AN13" s="43">
        <v>1</v>
      </c>
      <c r="AO13" s="43">
        <v>1</v>
      </c>
      <c r="AP13" s="43">
        <v>1</v>
      </c>
      <c r="AQ13" s="43">
        <v>1</v>
      </c>
      <c r="AR13" s="43">
        <v>1</v>
      </c>
      <c r="AS13" s="43">
        <v>1</v>
      </c>
    </row>
    <row r="14" spans="1:45" x14ac:dyDescent="0.3">
      <c r="A14" s="29" t="s">
        <v>144</v>
      </c>
      <c r="B14" s="30">
        <f>B9*B10</f>
        <v>0</v>
      </c>
      <c r="C14" s="30" t="s">
        <v>145</v>
      </c>
      <c r="D14" s="23"/>
      <c r="O14" s="104" t="s">
        <v>96</v>
      </c>
      <c r="P14" s="104"/>
      <c r="R14" s="11" t="s">
        <v>60</v>
      </c>
      <c r="S14" s="16" t="s">
        <v>83</v>
      </c>
      <c r="U14" s="11" t="s">
        <v>60</v>
      </c>
      <c r="V14" s="16" t="s">
        <v>104</v>
      </c>
      <c r="X14" s="34">
        <v>23</v>
      </c>
      <c r="Y14" s="11">
        <v>1.0309999999999999</v>
      </c>
      <c r="Z14" s="53">
        <v>1.1700000000000002</v>
      </c>
      <c r="AA14" s="56">
        <v>45992</v>
      </c>
      <c r="AB14" s="11" t="s">
        <v>165</v>
      </c>
      <c r="AC14" s="57" t="e">
        <f>$AD$20*(DIMENSIONAMENTO!$O$38/(DIMENSIONAMENTO!$I$28-DIMENSIONAMENTO!$I$26))*DADOS!Z14*DAY(EOMONTH(AA14,0))*RIGHT(HLOOKUP($A$42,$AN$1:$AS$22,4,0),4)</f>
        <v>#DIV/0!</v>
      </c>
      <c r="AD14" s="37" t="e">
        <f t="shared" si="0"/>
        <v>#DIV/0!</v>
      </c>
      <c r="AG14" s="10" t="e">
        <f>$AD$20*DIMENSIONAMENTO!$O$38/(DIMENSIONAMENTO!$I$28-DIMENSIONAMENTO!$I$26)*Z14*IF($AF$23&lt;&gt;"",$AD$31,DAY(EOMONTH(AA14,0)))*RIGHT(HLOOKUP($A$42,$AN$1:$AS$22,4,0),4)</f>
        <v>#DIV/0!</v>
      </c>
      <c r="AH14" s="37" t="e">
        <f t="shared" si="1"/>
        <v>#DIV/0!</v>
      </c>
      <c r="AL14" s="41" t="s">
        <v>200</v>
      </c>
      <c r="AM14" s="46" t="s">
        <v>208</v>
      </c>
      <c r="AN14" s="43" t="s">
        <v>224</v>
      </c>
      <c r="AO14" s="43" t="s">
        <v>224</v>
      </c>
      <c r="AP14" s="43" t="s">
        <v>243</v>
      </c>
      <c r="AQ14" s="43" t="s">
        <v>253</v>
      </c>
      <c r="AR14" s="43" t="s">
        <v>265</v>
      </c>
      <c r="AS14" s="43" t="s">
        <v>265</v>
      </c>
    </row>
    <row r="15" spans="1:45" x14ac:dyDescent="0.3">
      <c r="O15" s="11" t="s">
        <v>39</v>
      </c>
      <c r="P15" s="14" t="s">
        <v>97</v>
      </c>
      <c r="R15" s="11" t="s">
        <v>61</v>
      </c>
      <c r="S15" s="16" t="s">
        <v>85</v>
      </c>
      <c r="U15" s="11" t="s">
        <v>61</v>
      </c>
      <c r="V15" s="16" t="s">
        <v>105</v>
      </c>
      <c r="X15" s="34">
        <v>24</v>
      </c>
      <c r="Y15" s="11">
        <v>1.0149999999999999</v>
      </c>
      <c r="AB15" s="26" t="s">
        <v>169</v>
      </c>
      <c r="AC15" s="106" t="e">
        <f>AVERAGE(AD3:AD14)</f>
        <v>#DIV/0!</v>
      </c>
      <c r="AD15" s="106"/>
      <c r="AG15" s="107" t="e">
        <f>AVERAGE(AH3:AH14)</f>
        <v>#DIV/0!</v>
      </c>
      <c r="AH15" s="107"/>
      <c r="AL15" s="41" t="s">
        <v>201</v>
      </c>
      <c r="AM15" s="46" t="s">
        <v>209</v>
      </c>
      <c r="AN15" s="43" t="s">
        <v>225</v>
      </c>
      <c r="AO15" s="43" t="s">
        <v>234</v>
      </c>
      <c r="AP15" s="43" t="s">
        <v>245</v>
      </c>
      <c r="AQ15" s="43" t="s">
        <v>254</v>
      </c>
      <c r="AR15" s="43" t="s">
        <v>266</v>
      </c>
      <c r="AS15" s="43" t="s">
        <v>276</v>
      </c>
    </row>
    <row r="16" spans="1:45" x14ac:dyDescent="0.3">
      <c r="O16" s="11" t="s">
        <v>40</v>
      </c>
      <c r="P16" s="14" t="s">
        <v>98</v>
      </c>
      <c r="R16" s="11" t="s">
        <v>62</v>
      </c>
      <c r="S16" s="16" t="s">
        <v>78</v>
      </c>
      <c r="U16" s="11" t="s">
        <v>62</v>
      </c>
      <c r="V16" s="16" t="s">
        <v>105</v>
      </c>
      <c r="X16" s="34">
        <v>25</v>
      </c>
      <c r="Y16" s="11">
        <v>1</v>
      </c>
      <c r="AL16" s="41" t="s">
        <v>202</v>
      </c>
      <c r="AM16" s="46" t="s">
        <v>210</v>
      </c>
      <c r="AN16" s="43">
        <v>50</v>
      </c>
      <c r="AO16" s="43">
        <v>50</v>
      </c>
      <c r="AP16" s="43" t="s">
        <v>244</v>
      </c>
      <c r="AQ16" s="43">
        <v>50</v>
      </c>
      <c r="AR16" s="43">
        <v>48.3</v>
      </c>
      <c r="AS16" s="43">
        <v>50</v>
      </c>
    </row>
    <row r="17" spans="1:45" x14ac:dyDescent="0.3">
      <c r="O17" s="11" t="s">
        <v>41</v>
      </c>
      <c r="P17" s="14" t="s">
        <v>99</v>
      </c>
      <c r="R17" s="11" t="s">
        <v>63</v>
      </c>
      <c r="S17" s="16" t="s">
        <v>76</v>
      </c>
      <c r="U17" s="11" t="s">
        <v>63</v>
      </c>
      <c r="V17" s="16" t="s">
        <v>104</v>
      </c>
      <c r="X17" s="34">
        <v>26</v>
      </c>
      <c r="Y17" s="11">
        <v>0.98499999999999999</v>
      </c>
      <c r="AL17" s="41" t="s">
        <v>203</v>
      </c>
      <c r="AM17" s="46" t="s">
        <v>211</v>
      </c>
      <c r="AN17" s="43">
        <v>3</v>
      </c>
      <c r="AO17" s="43">
        <v>4</v>
      </c>
      <c r="AP17" s="43">
        <v>5.2</v>
      </c>
      <c r="AQ17" s="43">
        <v>7.5</v>
      </c>
      <c r="AR17" s="43">
        <v>10</v>
      </c>
      <c r="AS17" s="43">
        <v>12</v>
      </c>
    </row>
    <row r="18" spans="1:45" x14ac:dyDescent="0.3">
      <c r="O18" s="11" t="s">
        <v>42</v>
      </c>
      <c r="P18" s="14" t="s">
        <v>100</v>
      </c>
      <c r="R18" s="11" t="s">
        <v>64</v>
      </c>
      <c r="S18" s="16" t="s">
        <v>86</v>
      </c>
      <c r="U18" s="11" t="s">
        <v>64</v>
      </c>
      <c r="V18" s="16" t="s">
        <v>109</v>
      </c>
      <c r="X18" s="34">
        <v>27</v>
      </c>
      <c r="Y18" s="11">
        <v>0.96899999999999997</v>
      </c>
      <c r="AB18" s="84" t="s">
        <v>170</v>
      </c>
      <c r="AC18" s="84"/>
      <c r="AD18" s="84"/>
      <c r="AL18" s="41" t="s">
        <v>204</v>
      </c>
      <c r="AM18" s="46" t="s">
        <v>212</v>
      </c>
      <c r="AN18" s="43">
        <v>1.8</v>
      </c>
      <c r="AO18" s="43">
        <v>2.8</v>
      </c>
      <c r="AP18" s="43">
        <v>3</v>
      </c>
      <c r="AQ18" s="43">
        <v>6</v>
      </c>
      <c r="AR18" s="43">
        <v>14</v>
      </c>
      <c r="AS18" s="43">
        <v>17</v>
      </c>
    </row>
    <row r="19" spans="1:45" x14ac:dyDescent="0.3">
      <c r="O19" s="11" t="s">
        <v>43</v>
      </c>
      <c r="P19" s="14" t="s">
        <v>101</v>
      </c>
      <c r="R19" s="11" t="s">
        <v>65</v>
      </c>
      <c r="S19" s="16" t="s">
        <v>77</v>
      </c>
      <c r="U19" s="11" t="s">
        <v>65</v>
      </c>
      <c r="V19" s="16" t="s">
        <v>109</v>
      </c>
      <c r="X19" s="34">
        <v>28</v>
      </c>
      <c r="Y19" s="11">
        <v>0.95399999999999996</v>
      </c>
      <c r="AB19" s="14" t="s">
        <v>171</v>
      </c>
      <c r="AC19" s="14" t="s">
        <v>172</v>
      </c>
      <c r="AD19" s="14" t="s">
        <v>173</v>
      </c>
      <c r="AF19" s="61" t="s">
        <v>292</v>
      </c>
      <c r="AL19" s="42" t="s">
        <v>214</v>
      </c>
      <c r="AM19" s="46" t="s">
        <v>210</v>
      </c>
      <c r="AN19" s="43" t="s">
        <v>226</v>
      </c>
      <c r="AO19" s="43" t="s">
        <v>226</v>
      </c>
      <c r="AP19" s="43" t="s">
        <v>226</v>
      </c>
      <c r="AQ19" s="43" t="s">
        <v>255</v>
      </c>
      <c r="AR19" s="43" t="s">
        <v>267</v>
      </c>
      <c r="AS19" s="43" t="s">
        <v>267</v>
      </c>
    </row>
    <row r="20" spans="1:45" x14ac:dyDescent="0.3">
      <c r="A20" s="2" t="s">
        <v>9</v>
      </c>
      <c r="B20" s="5">
        <f>DIMENSIONAMENTO!I26</f>
        <v>0</v>
      </c>
      <c r="R20" s="11" t="s">
        <v>66</v>
      </c>
      <c r="S20" s="16" t="s">
        <v>81</v>
      </c>
      <c r="U20" s="11" t="s">
        <v>66</v>
      </c>
      <c r="V20" s="16" t="s">
        <v>104</v>
      </c>
      <c r="X20" s="34">
        <v>29</v>
      </c>
      <c r="Y20" s="11">
        <v>0.93799999999999994</v>
      </c>
      <c r="AB20" s="33" t="s">
        <v>174</v>
      </c>
      <c r="AC20" s="32" t="s">
        <v>175</v>
      </c>
      <c r="AD20" s="63">
        <f>RELATÓRIO!G81</f>
        <v>0.89</v>
      </c>
      <c r="AF20" s="49" t="s">
        <v>128</v>
      </c>
      <c r="AL20" s="41" t="s">
        <v>205</v>
      </c>
      <c r="AM20" s="46" t="s">
        <v>210</v>
      </c>
      <c r="AN20" s="43" t="s">
        <v>227</v>
      </c>
      <c r="AO20" s="43" t="s">
        <v>227</v>
      </c>
      <c r="AP20" s="43" t="s">
        <v>227</v>
      </c>
      <c r="AQ20" s="43" t="s">
        <v>256</v>
      </c>
      <c r="AR20" s="43" t="s">
        <v>268</v>
      </c>
      <c r="AS20" s="43" t="s">
        <v>268</v>
      </c>
    </row>
    <row r="21" spans="1:45" x14ac:dyDescent="0.3">
      <c r="A21" s="4" t="s">
        <v>10</v>
      </c>
      <c r="B21" s="5">
        <f>DIMENSIONAMENTO!I28</f>
        <v>0</v>
      </c>
      <c r="R21" s="11" t="s">
        <v>67</v>
      </c>
      <c r="S21" s="16" t="s">
        <v>87</v>
      </c>
      <c r="U21" s="11" t="s">
        <v>67</v>
      </c>
      <c r="V21" s="16" t="s">
        <v>105</v>
      </c>
      <c r="X21" s="34">
        <v>30</v>
      </c>
      <c r="Y21" s="11">
        <v>0.92300000000000004</v>
      </c>
      <c r="AB21" s="64" t="s">
        <v>176</v>
      </c>
      <c r="AC21" s="65" t="s">
        <v>177</v>
      </c>
      <c r="AD21" s="19">
        <v>7.7</v>
      </c>
      <c r="AL21" s="41" t="s">
        <v>206</v>
      </c>
      <c r="AM21" s="46" t="s">
        <v>213</v>
      </c>
      <c r="AN21" s="43">
        <v>39</v>
      </c>
      <c r="AO21" s="43">
        <v>41.48</v>
      </c>
      <c r="AP21" s="43">
        <v>44</v>
      </c>
      <c r="AQ21" s="43">
        <v>68</v>
      </c>
      <c r="AR21" s="43">
        <v>87</v>
      </c>
      <c r="AS21" s="43">
        <v>99</v>
      </c>
    </row>
    <row r="22" spans="1:45" x14ac:dyDescent="0.3">
      <c r="B22" s="1">
        <f>B21-B20</f>
        <v>0</v>
      </c>
      <c r="C22" s="1" t="s">
        <v>11</v>
      </c>
      <c r="R22" s="11" t="s">
        <v>68</v>
      </c>
      <c r="S22" s="16" t="s">
        <v>81</v>
      </c>
      <c r="U22" s="11" t="s">
        <v>68</v>
      </c>
      <c r="V22" s="16" t="s">
        <v>107</v>
      </c>
      <c r="X22" s="34">
        <v>31</v>
      </c>
      <c r="Y22" s="11">
        <v>0.90800000000000003</v>
      </c>
      <c r="AB22" s="64" t="s">
        <v>178</v>
      </c>
      <c r="AC22" s="65" t="s">
        <v>179</v>
      </c>
      <c r="AD22" s="19">
        <v>10</v>
      </c>
      <c r="AF22" t="s">
        <v>293</v>
      </c>
      <c r="AL22" s="41" t="s">
        <v>207</v>
      </c>
      <c r="AM22" s="46" t="s">
        <v>213</v>
      </c>
      <c r="AN22" s="43">
        <v>46</v>
      </c>
      <c r="AO22" s="43">
        <v>46</v>
      </c>
      <c r="AP22" s="43">
        <v>54</v>
      </c>
      <c r="AQ22" s="43">
        <v>79</v>
      </c>
      <c r="AR22" s="43">
        <v>103</v>
      </c>
      <c r="AS22" s="43">
        <v>115</v>
      </c>
    </row>
    <row r="23" spans="1:45" x14ac:dyDescent="0.3">
      <c r="B23" s="9" t="str">
        <f>ROUNDUP(B22,1)&amp;C22</f>
        <v>0°C</v>
      </c>
      <c r="R23" s="11" t="s">
        <v>69</v>
      </c>
      <c r="S23" s="16" t="s">
        <v>88</v>
      </c>
      <c r="U23" s="11" t="s">
        <v>69</v>
      </c>
      <c r="V23" s="16" t="s">
        <v>110</v>
      </c>
      <c r="X23" s="34">
        <v>32</v>
      </c>
      <c r="Y23" s="11">
        <v>0.89200000000000002</v>
      </c>
      <c r="AF23" s="49">
        <f>RELATÓRIO!G78</f>
        <v>18</v>
      </c>
    </row>
    <row r="24" spans="1:45" x14ac:dyDescent="0.3">
      <c r="R24" s="11" t="s">
        <v>70</v>
      </c>
      <c r="S24" s="16" t="s">
        <v>76</v>
      </c>
      <c r="U24" s="11" t="s">
        <v>70</v>
      </c>
      <c r="V24" s="16" t="s">
        <v>111</v>
      </c>
      <c r="X24" s="34">
        <v>33</v>
      </c>
      <c r="Y24" s="11">
        <v>0.877</v>
      </c>
    </row>
    <row r="25" spans="1:45" x14ac:dyDescent="0.3">
      <c r="R25" s="11" t="s">
        <v>71</v>
      </c>
      <c r="S25" s="16" t="s">
        <v>89</v>
      </c>
      <c r="U25" s="11" t="s">
        <v>71</v>
      </c>
      <c r="V25" s="16" t="s">
        <v>105</v>
      </c>
      <c r="X25" s="34">
        <v>34</v>
      </c>
      <c r="Y25" s="11">
        <v>0.86199999999999999</v>
      </c>
      <c r="AB25" s="48" t="s">
        <v>277</v>
      </c>
      <c r="AC25" s="48" t="s">
        <v>278</v>
      </c>
    </row>
    <row r="26" spans="1:45" x14ac:dyDescent="0.3">
      <c r="A26" s="2" t="s">
        <v>4</v>
      </c>
      <c r="B26" s="5" t="str">
        <f>DIMENSIONAMENTO!O26</f>
        <v>NÃO</v>
      </c>
      <c r="C26" s="25">
        <f>IF(DIMENSIONAMENTO!S24="SIM",1.2,1)</f>
        <v>1</v>
      </c>
      <c r="O26" s="103" t="s">
        <v>31</v>
      </c>
      <c r="P26" s="103"/>
      <c r="R26" s="11" t="s">
        <v>72</v>
      </c>
      <c r="S26" s="16" t="s">
        <v>90</v>
      </c>
      <c r="U26" s="11" t="s">
        <v>72</v>
      </c>
      <c r="V26" s="16" t="s">
        <v>109</v>
      </c>
      <c r="X26" s="34">
        <v>35</v>
      </c>
      <c r="Y26" s="11">
        <v>0.84599999999999997</v>
      </c>
      <c r="AB26" t="e">
        <f>F3*B39</f>
        <v>#N/A</v>
      </c>
      <c r="AC26" t="e">
        <f>AD20*AB26</f>
        <v>#N/A</v>
      </c>
    </row>
    <row r="27" spans="1:45" x14ac:dyDescent="0.3">
      <c r="A27" s="3" t="s">
        <v>6</v>
      </c>
      <c r="B27" s="5" t="str">
        <f>DIMENSIONAMENTO!O30</f>
        <v>NÃO</v>
      </c>
      <c r="C27" s="24">
        <f>IF(B27="SIM",B6*0.015,B6*0.06)</f>
        <v>0</v>
      </c>
      <c r="O27" s="11" t="s">
        <v>32</v>
      </c>
      <c r="P27" s="14" t="s">
        <v>112</v>
      </c>
      <c r="Q27" s="8">
        <v>23000</v>
      </c>
      <c r="R27" s="11" t="s">
        <v>73</v>
      </c>
      <c r="S27" s="16" t="s">
        <v>91</v>
      </c>
      <c r="U27" s="11" t="s">
        <v>73</v>
      </c>
      <c r="V27" s="16" t="s">
        <v>104</v>
      </c>
      <c r="X27" s="34">
        <v>36</v>
      </c>
      <c r="Y27" s="11">
        <v>0.83099999999999996</v>
      </c>
    </row>
    <row r="28" spans="1:45" x14ac:dyDescent="0.3">
      <c r="A28" s="3" t="s">
        <v>7</v>
      </c>
      <c r="B28" s="5" t="str">
        <f>DIMENSIONAMENTO!O32</f>
        <v>NÃO</v>
      </c>
      <c r="C28" s="24">
        <f>IF(B28="SIM",B6*0.005,B6*0.015)</f>
        <v>0</v>
      </c>
      <c r="O28" s="11" t="s">
        <v>37</v>
      </c>
      <c r="P28" s="14" t="s">
        <v>113</v>
      </c>
      <c r="Q28" s="8">
        <v>30000</v>
      </c>
      <c r="R28" s="11" t="s">
        <v>74</v>
      </c>
      <c r="S28" s="16" t="s">
        <v>76</v>
      </c>
      <c r="U28" s="11" t="s">
        <v>74</v>
      </c>
      <c r="V28" s="16" t="s">
        <v>104</v>
      </c>
      <c r="X28" s="34">
        <v>37</v>
      </c>
      <c r="Y28" s="11">
        <v>0.81499999999999995</v>
      </c>
      <c r="AB28">
        <f>DAY(EOMONTH(AA6,0))</f>
        <v>30</v>
      </c>
      <c r="AD28" s="53">
        <f>4*B39</f>
        <v>96</v>
      </c>
      <c r="AE28" t="s">
        <v>297</v>
      </c>
    </row>
    <row r="29" spans="1:45" x14ac:dyDescent="0.3">
      <c r="A29" s="4" t="s">
        <v>5</v>
      </c>
      <c r="B29" s="5" t="str">
        <f>DIMENSIONAMENTO!O40</f>
        <v>SEM VENTO</v>
      </c>
      <c r="C29" s="25">
        <f>IF(A29="FRACO",0.06*B6,IF(A29="MODERADO",0.1*B6,IF(A29="FORTE",0.15*B6,0)))</f>
        <v>0</v>
      </c>
      <c r="O29" s="11" t="s">
        <v>33</v>
      </c>
      <c r="P29" s="14" t="s">
        <v>114</v>
      </c>
      <c r="Q29" s="8">
        <v>45000</v>
      </c>
      <c r="R29" s="11" t="s">
        <v>75</v>
      </c>
      <c r="S29" s="16" t="s">
        <v>81</v>
      </c>
      <c r="U29" s="11" t="s">
        <v>75</v>
      </c>
      <c r="V29" s="16" t="s">
        <v>105</v>
      </c>
      <c r="X29" s="34">
        <v>38</v>
      </c>
      <c r="Y29" s="11">
        <v>0.8</v>
      </c>
      <c r="AB29">
        <f>WEEKNUM(AA3,1)-1</f>
        <v>0</v>
      </c>
      <c r="AD29" s="53">
        <f>4*2*AF23</f>
        <v>144</v>
      </c>
      <c r="AE29" t="s">
        <v>296</v>
      </c>
    </row>
    <row r="30" spans="1:45" x14ac:dyDescent="0.3">
      <c r="C30" s="23"/>
      <c r="O30" s="11" t="s">
        <v>34</v>
      </c>
      <c r="P30" s="14" t="s">
        <v>115</v>
      </c>
      <c r="Q30" s="8">
        <v>62000</v>
      </c>
      <c r="AB30" s="55"/>
      <c r="AD30" s="53">
        <f>AD28+AD29</f>
        <v>240</v>
      </c>
      <c r="AE30" t="s">
        <v>295</v>
      </c>
    </row>
    <row r="31" spans="1:45" x14ac:dyDescent="0.3">
      <c r="A31" s="3" t="s">
        <v>143</v>
      </c>
      <c r="B31" s="5" t="str">
        <f>DIMENSIONAMENTO!O28</f>
        <v>NÃO</v>
      </c>
      <c r="C31" s="25">
        <f>IF(B31="SIM",1.15,1)</f>
        <v>1</v>
      </c>
      <c r="O31" s="11" t="s">
        <v>35</v>
      </c>
      <c r="P31" s="14" t="s">
        <v>116</v>
      </c>
      <c r="Q31" s="8">
        <v>81000</v>
      </c>
      <c r="AD31" s="62">
        <f>ROUNDUP(AD30/24,0)</f>
        <v>10</v>
      </c>
      <c r="AE31" t="s">
        <v>294</v>
      </c>
    </row>
    <row r="32" spans="1:45" x14ac:dyDescent="0.3">
      <c r="O32" s="19" t="s">
        <v>36</v>
      </c>
      <c r="P32" s="18" t="s">
        <v>117</v>
      </c>
      <c r="Q32" s="8">
        <v>95000</v>
      </c>
    </row>
    <row r="33" spans="1:16" x14ac:dyDescent="0.3">
      <c r="A33" s="1" t="s">
        <v>120</v>
      </c>
      <c r="B33" s="21">
        <f>DIMENSIONAMENTO!I35</f>
        <v>0</v>
      </c>
      <c r="C33" s="25" t="e">
        <f>VLOOKUP(B33,X3:Y29,2,0)</f>
        <v>#N/A</v>
      </c>
      <c r="P33" s="20" t="s">
        <v>118</v>
      </c>
    </row>
    <row r="36" spans="1:16" x14ac:dyDescent="0.3">
      <c r="O36" s="103" t="s">
        <v>186</v>
      </c>
      <c r="P36" s="103"/>
    </row>
    <row r="37" spans="1:16" x14ac:dyDescent="0.3">
      <c r="O37" s="103" t="s">
        <v>130</v>
      </c>
      <c r="P37" s="103"/>
    </row>
    <row r="38" spans="1:16" x14ac:dyDescent="0.3">
      <c r="O38" s="11" t="s">
        <v>127</v>
      </c>
      <c r="P38" s="14" t="s">
        <v>135</v>
      </c>
    </row>
    <row r="39" spans="1:16" x14ac:dyDescent="0.3">
      <c r="A39" s="1" t="s">
        <v>8</v>
      </c>
      <c r="B39" s="5">
        <f>DIMENSIONAMENTO!O38</f>
        <v>24</v>
      </c>
      <c r="O39" s="11" t="s">
        <v>131</v>
      </c>
      <c r="P39" s="14" t="s">
        <v>134</v>
      </c>
    </row>
    <row r="40" spans="1:16" x14ac:dyDescent="0.3">
      <c r="O40" s="11" t="s">
        <v>132</v>
      </c>
      <c r="P40" s="14" t="s">
        <v>136</v>
      </c>
    </row>
    <row r="41" spans="1:16" x14ac:dyDescent="0.3">
      <c r="A41" s="1" t="s">
        <v>119</v>
      </c>
      <c r="O41" s="11" t="s">
        <v>133</v>
      </c>
      <c r="P41" s="14" t="s">
        <v>137</v>
      </c>
    </row>
    <row r="42" spans="1:16" x14ac:dyDescent="0.3">
      <c r="A42" s="5" t="str">
        <f>IFERROR(IF($F$5&lt;=B45,A45,IF(AND($F$5&lt;=B46,$F$5&gt;B45),A46,IF(AND($F$5&lt;=B47,$F$5&gt;B46),A47,IF(AND($F$5&lt;=B48,$F$5&gt;B47),A48,IF(AND($F$5&lt;=B49,$F$5&gt;B48),A49,IF(AND($F$5&lt;=B50,$F$5&gt;B49),A50,IF($F$5&gt;B50,"CONSIDERAR MAIS BOMBAS DE CALOR OU AJUSTAR CARACTERISTICAS DA APLICAÇÃO",0))))))),"-")</f>
        <v>-</v>
      </c>
    </row>
    <row r="44" spans="1:16" x14ac:dyDescent="0.3">
      <c r="A44" s="1" t="s">
        <v>31</v>
      </c>
    </row>
    <row r="45" spans="1:16" x14ac:dyDescent="0.3">
      <c r="A45" s="5" t="s">
        <v>32</v>
      </c>
      <c r="B45" s="5">
        <v>23000</v>
      </c>
    </row>
    <row r="46" spans="1:16" x14ac:dyDescent="0.3">
      <c r="A46" s="5" t="s">
        <v>37</v>
      </c>
      <c r="B46" s="5">
        <v>30000</v>
      </c>
    </row>
    <row r="47" spans="1:16" x14ac:dyDescent="0.3">
      <c r="A47" s="5" t="s">
        <v>33</v>
      </c>
      <c r="B47" s="5">
        <v>45000</v>
      </c>
    </row>
    <row r="48" spans="1:16" x14ac:dyDescent="0.3">
      <c r="A48" s="5" t="s">
        <v>34</v>
      </c>
      <c r="B48" s="5">
        <v>62000</v>
      </c>
    </row>
    <row r="49" spans="1:2" x14ac:dyDescent="0.3">
      <c r="A49" s="5" t="s">
        <v>35</v>
      </c>
      <c r="B49" s="5">
        <v>81000</v>
      </c>
    </row>
    <row r="50" spans="1:2" x14ac:dyDescent="0.3">
      <c r="A50" s="5" t="s">
        <v>36</v>
      </c>
      <c r="B50" s="5">
        <v>95000</v>
      </c>
    </row>
  </sheetData>
  <sortState xmlns:xlrd2="http://schemas.microsoft.com/office/spreadsheetml/2017/richdata2" ref="L3:M7">
    <sortCondition ref="L2:L7"/>
  </sortState>
  <mergeCells count="20">
    <mergeCell ref="AG1:AH1"/>
    <mergeCell ref="O36:P36"/>
    <mergeCell ref="AC15:AD15"/>
    <mergeCell ref="AG15:AH15"/>
    <mergeCell ref="AB18:AD18"/>
    <mergeCell ref="U1:V1"/>
    <mergeCell ref="U2:V2"/>
    <mergeCell ref="O26:P26"/>
    <mergeCell ref="O13:P13"/>
    <mergeCell ref="AC1:AD1"/>
    <mergeCell ref="L1:M1"/>
    <mergeCell ref="O1:P1"/>
    <mergeCell ref="R1:S1"/>
    <mergeCell ref="O37:P37"/>
    <mergeCell ref="O14:P14"/>
    <mergeCell ref="AL2:AL3"/>
    <mergeCell ref="AL6:AL7"/>
    <mergeCell ref="L2:M2"/>
    <mergeCell ref="O2:P2"/>
    <mergeCell ref="R2:S2"/>
  </mergeCells>
  <phoneticPr fontId="25" type="noConversion"/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2240-6BCB-499B-82B3-C86CF903C5CE}">
  <sheetPr codeName="Planilha5">
    <tabColor theme="4"/>
  </sheetPr>
  <dimension ref="A1:Z170"/>
  <sheetViews>
    <sheetView showGridLines="0" showRowColHeaders="0" zoomScaleNormal="100" workbookViewId="0">
      <pane ySplit="12" topLeftCell="A13" activePane="bottomLeft" state="frozen"/>
      <selection pane="bottomLeft" activeCell="E10" sqref="E10:G11"/>
    </sheetView>
  </sheetViews>
  <sheetFormatPr defaultColWidth="0" defaultRowHeight="14.4" customHeight="1" zeroHeight="1" x14ac:dyDescent="0.3"/>
  <cols>
    <col min="1" max="26" width="8.88671875" customWidth="1"/>
    <col min="27" max="16384" width="8.88671875" hidden="1"/>
  </cols>
  <sheetData>
    <row r="1" spans="2:15" x14ac:dyDescent="0.3"/>
    <row r="2" spans="2:15" x14ac:dyDescent="0.3"/>
    <row r="3" spans="2:15" x14ac:dyDescent="0.3"/>
    <row r="4" spans="2:15" x14ac:dyDescent="0.3"/>
    <row r="5" spans="2:15" x14ac:dyDescent="0.3">
      <c r="K5" s="110" t="s">
        <v>126</v>
      </c>
      <c r="L5" s="110"/>
      <c r="M5" s="110"/>
      <c r="N5" s="110"/>
      <c r="O5" s="110"/>
    </row>
    <row r="6" spans="2:15" x14ac:dyDescent="0.3">
      <c r="K6" s="110"/>
      <c r="L6" s="110"/>
      <c r="M6" s="110"/>
      <c r="N6" s="110"/>
      <c r="O6" s="110"/>
    </row>
    <row r="7" spans="2:15" x14ac:dyDescent="0.3"/>
    <row r="8" spans="2:15" x14ac:dyDescent="0.3"/>
    <row r="9" spans="2:15" x14ac:dyDescent="0.3"/>
    <row r="10" spans="2:15" ht="18" x14ac:dyDescent="0.3">
      <c r="B10" s="22"/>
      <c r="C10" s="22"/>
      <c r="D10" s="22"/>
      <c r="E10" s="111" t="s">
        <v>121</v>
      </c>
      <c r="F10" s="111"/>
      <c r="G10" s="111"/>
      <c r="H10" s="22"/>
      <c r="I10" s="111" t="s">
        <v>122</v>
      </c>
      <c r="J10" s="111"/>
      <c r="K10" s="111"/>
      <c r="M10" s="111" t="s">
        <v>140</v>
      </c>
      <c r="N10" s="111"/>
      <c r="O10" s="111"/>
    </row>
    <row r="11" spans="2:15" ht="18" x14ac:dyDescent="0.3">
      <c r="B11" s="22"/>
      <c r="C11" s="22"/>
      <c r="D11" s="22"/>
      <c r="E11" s="111"/>
      <c r="F11" s="111"/>
      <c r="G11" s="111"/>
      <c r="H11" s="22"/>
      <c r="I11" s="111"/>
      <c r="J11" s="111"/>
      <c r="K11" s="111"/>
      <c r="M11" s="111"/>
      <c r="N11" s="111"/>
      <c r="O11" s="111"/>
    </row>
    <row r="12" spans="2:15" ht="18" x14ac:dyDescent="0.3">
      <c r="B12" s="22"/>
      <c r="C12" s="22"/>
      <c r="D12" s="22"/>
      <c r="E12" s="22"/>
      <c r="F12" s="22"/>
      <c r="G12" s="22"/>
      <c r="H12" s="22"/>
      <c r="I12" s="22"/>
      <c r="J12" s="22"/>
    </row>
    <row r="13" spans="2:15" x14ac:dyDescent="0.3"/>
    <row r="14" spans="2:15" ht="14.4" customHeight="1" x14ac:dyDescent="0.3"/>
    <row r="15" spans="2:15" ht="14.4" customHeight="1" x14ac:dyDescent="0.3"/>
    <row r="16" spans="2:15" ht="14.4" customHeight="1" x14ac:dyDescent="0.3"/>
    <row r="17" customFormat="1" ht="14.4" customHeight="1" x14ac:dyDescent="0.3"/>
    <row r="18" customFormat="1" ht="14.4" customHeight="1" x14ac:dyDescent="0.3"/>
    <row r="19" customFormat="1" ht="14.4" customHeight="1" x14ac:dyDescent="0.3"/>
    <row r="20" customFormat="1" ht="14.4" customHeight="1" x14ac:dyDescent="0.3"/>
    <row r="21" customFormat="1" ht="14.4" customHeight="1" x14ac:dyDescent="0.3"/>
    <row r="22" customFormat="1" ht="14.4" customHeight="1" x14ac:dyDescent="0.3"/>
    <row r="23" customFormat="1" ht="14.4" customHeight="1" x14ac:dyDescent="0.3"/>
    <row r="24" customFormat="1" ht="14.4" customHeight="1" x14ac:dyDescent="0.3"/>
    <row r="25" customFormat="1" ht="14.4" customHeight="1" x14ac:dyDescent="0.3"/>
    <row r="26" customFormat="1" ht="14.4" customHeight="1" x14ac:dyDescent="0.3"/>
    <row r="27" customFormat="1" ht="14.4" customHeight="1" x14ac:dyDescent="0.3"/>
    <row r="28" customFormat="1" ht="14.4" customHeight="1" x14ac:dyDescent="0.3"/>
    <row r="29" customFormat="1" ht="14.4" customHeight="1" x14ac:dyDescent="0.3"/>
    <row r="30" customFormat="1" ht="14.4" customHeight="1" x14ac:dyDescent="0.3"/>
    <row r="31" customFormat="1" ht="14.4" customHeight="1" x14ac:dyDescent="0.3"/>
    <row r="32" customFormat="1" ht="14.4" customHeight="1" x14ac:dyDescent="0.3"/>
    <row r="33" spans="2:25" ht="14.4" customHeight="1" x14ac:dyDescent="0.3"/>
    <row r="34" spans="2:25" ht="14.4" customHeight="1" x14ac:dyDescent="0.3"/>
    <row r="35" spans="2:25" ht="14.4" customHeight="1" x14ac:dyDescent="0.3"/>
    <row r="36" spans="2:25" ht="14.4" customHeight="1" x14ac:dyDescent="0.3"/>
    <row r="37" spans="2:25" ht="14.4" customHeight="1" x14ac:dyDescent="0.3"/>
    <row r="38" spans="2:25" ht="14.4" customHeight="1" x14ac:dyDescent="0.3"/>
    <row r="39" spans="2:25" ht="14.4" customHeight="1" x14ac:dyDescent="0.3"/>
    <row r="40" spans="2:25" ht="14.4" customHeight="1" x14ac:dyDescent="0.3"/>
    <row r="41" spans="2:25" ht="14.4" customHeight="1" x14ac:dyDescent="0.3"/>
    <row r="42" spans="2:25" ht="14.4" customHeight="1" x14ac:dyDescent="0.3">
      <c r="B42" s="109" t="s">
        <v>304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</row>
    <row r="43" spans="2:25" ht="14.4" customHeight="1" x14ac:dyDescent="0.3"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</row>
    <row r="44" spans="2:25" ht="14.4" customHeight="1" x14ac:dyDescent="0.3"/>
    <row r="45" spans="2:25" ht="14.4" customHeight="1" x14ac:dyDescent="0.3"/>
    <row r="46" spans="2:25" ht="14.4" customHeight="1" x14ac:dyDescent="0.3"/>
    <row r="47" spans="2:25" ht="14.4" customHeight="1" x14ac:dyDescent="0.3"/>
    <row r="48" spans="2:25" ht="14.4" customHeight="1" x14ac:dyDescent="0.3">
      <c r="B48" s="109" t="s">
        <v>184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</row>
    <row r="49" spans="2:25" ht="14.4" customHeight="1" x14ac:dyDescent="0.3"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</row>
    <row r="50" spans="2:25" ht="14.4" customHeight="1" x14ac:dyDescent="0.3"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</row>
    <row r="51" spans="2:25" ht="14.4" customHeight="1" x14ac:dyDescent="0.3"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</row>
    <row r="52" spans="2:25" ht="14.4" customHeight="1" x14ac:dyDescent="0.3"/>
    <row r="53" spans="2:25" ht="14.4" customHeight="1" x14ac:dyDescent="0.3"/>
    <row r="54" spans="2:25" ht="14.4" customHeight="1" x14ac:dyDescent="0.3"/>
    <row r="55" spans="2:25" ht="14.4" customHeight="1" x14ac:dyDescent="0.3">
      <c r="B55" s="109" t="s">
        <v>185</v>
      </c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</row>
    <row r="56" spans="2:25" ht="14.4" customHeight="1" x14ac:dyDescent="0.3"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</row>
    <row r="57" spans="2:25" ht="14.4" customHeight="1" x14ac:dyDescent="0.3"/>
    <row r="58" spans="2:25" ht="14.4" customHeight="1" x14ac:dyDescent="0.3"/>
    <row r="59" spans="2:25" ht="14.4" customHeight="1" x14ac:dyDescent="0.3">
      <c r="B59" s="109" t="s">
        <v>189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</row>
    <row r="60" spans="2:25" ht="14.4" customHeight="1" x14ac:dyDescent="0.3"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</row>
    <row r="61" spans="2:25" ht="14.4" customHeight="1" x14ac:dyDescent="0.3"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</row>
    <row r="62" spans="2:25" ht="14.4" customHeight="1" x14ac:dyDescent="0.3"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</row>
    <row r="63" spans="2:25" ht="14.4" customHeight="1" x14ac:dyDescent="0.3"/>
    <row r="64" spans="2:25" ht="14.4" customHeight="1" x14ac:dyDescent="0.3"/>
    <row r="65" ht="14.4" customHeight="1" x14ac:dyDescent="0.3"/>
    <row r="66" ht="14.4" customHeight="1" x14ac:dyDescent="0.3"/>
    <row r="67" ht="14.4" customHeight="1" x14ac:dyDescent="0.3"/>
    <row r="68" ht="14.4" customHeight="1" x14ac:dyDescent="0.3"/>
    <row r="69" ht="14.4" customHeight="1" x14ac:dyDescent="0.3"/>
    <row r="70" ht="14.4" customHeight="1" x14ac:dyDescent="0.3"/>
    <row r="71" ht="14.4" customHeight="1" x14ac:dyDescent="0.3"/>
    <row r="72" ht="14.4" customHeight="1" x14ac:dyDescent="0.3"/>
    <row r="73" ht="14.4" customHeight="1" x14ac:dyDescent="0.3"/>
    <row r="74" ht="14.4" customHeight="1" x14ac:dyDescent="0.3"/>
    <row r="75" ht="14.4" customHeight="1" x14ac:dyDescent="0.3"/>
    <row r="76" ht="14.4" customHeight="1" x14ac:dyDescent="0.3"/>
    <row r="77" ht="14.4" customHeight="1" x14ac:dyDescent="0.3"/>
    <row r="78" ht="14.4" customHeight="1" x14ac:dyDescent="0.3"/>
    <row r="79" ht="14.4" customHeight="1" x14ac:dyDescent="0.3"/>
    <row r="80" ht="14.4" customHeight="1" x14ac:dyDescent="0.3"/>
    <row r="81" spans="2:25" ht="14.4" customHeight="1" x14ac:dyDescent="0.3"/>
    <row r="82" spans="2:25" ht="14.4" customHeight="1" x14ac:dyDescent="0.3"/>
    <row r="83" spans="2:25" ht="14.4" customHeight="1" x14ac:dyDescent="0.3">
      <c r="B83" s="109" t="s">
        <v>141</v>
      </c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</row>
    <row r="84" spans="2:25" ht="14.4" customHeight="1" x14ac:dyDescent="0.3"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</row>
    <row r="85" spans="2:25" ht="14.4" customHeight="1" x14ac:dyDescent="0.3"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</row>
    <row r="86" spans="2:25" ht="14.4" customHeight="1" x14ac:dyDescent="0.3"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</row>
    <row r="87" spans="2:25" ht="14.4" customHeight="1" x14ac:dyDescent="0.3"/>
    <row r="88" spans="2:25" ht="14.4" customHeight="1" x14ac:dyDescent="0.3"/>
    <row r="89" spans="2:25" ht="14.4" customHeight="1" x14ac:dyDescent="0.3"/>
    <row r="90" spans="2:25" ht="14.4" customHeight="1" x14ac:dyDescent="0.3"/>
    <row r="91" spans="2:25" ht="14.4" customHeight="1" x14ac:dyDescent="0.3"/>
    <row r="92" spans="2:25" ht="14.4" customHeight="1" x14ac:dyDescent="0.3"/>
    <row r="93" spans="2:25" ht="14.4" customHeight="1" x14ac:dyDescent="0.3"/>
    <row r="94" spans="2:25" ht="14.4" customHeight="1" x14ac:dyDescent="0.3">
      <c r="B94" s="109" t="s">
        <v>139</v>
      </c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</row>
    <row r="95" spans="2:25" ht="14.4" customHeight="1" x14ac:dyDescent="0.3"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</row>
    <row r="96" spans="2:25" ht="14.4" customHeight="1" x14ac:dyDescent="0.3"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</row>
    <row r="97" spans="2:25" ht="14.4" customHeight="1" x14ac:dyDescent="0.3"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</row>
    <row r="98" spans="2:25" ht="14.4" customHeight="1" x14ac:dyDescent="0.3"/>
    <row r="99" spans="2:25" ht="14.4" customHeight="1" x14ac:dyDescent="0.3"/>
    <row r="100" spans="2:25" ht="14.4" customHeight="1" x14ac:dyDescent="0.3"/>
    <row r="101" spans="2:25" ht="14.4" customHeight="1" x14ac:dyDescent="0.3"/>
    <row r="102" spans="2:25" ht="14.4" customHeight="1" x14ac:dyDescent="0.3"/>
    <row r="103" spans="2:25" ht="14.4" customHeight="1" x14ac:dyDescent="0.3"/>
    <row r="104" spans="2:25" ht="14.4" customHeight="1" x14ac:dyDescent="0.3"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</row>
    <row r="105" spans="2:25" ht="14.4" customHeight="1" x14ac:dyDescent="0.3"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</row>
    <row r="106" spans="2:25" ht="14.4" customHeight="1" x14ac:dyDescent="0.3"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</row>
    <row r="107" spans="2:25" ht="14.4" customHeight="1" x14ac:dyDescent="0.3"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</row>
    <row r="108" spans="2:25" ht="14.4" customHeight="1" x14ac:dyDescent="0.3"/>
    <row r="109" spans="2:25" ht="14.4" customHeight="1" x14ac:dyDescent="0.3"/>
    <row r="110" spans="2:25" ht="14.4" customHeight="1" x14ac:dyDescent="0.3"/>
    <row r="111" spans="2:25" ht="14.4" customHeight="1" x14ac:dyDescent="0.3"/>
    <row r="112" spans="2:25" ht="14.4" customHeight="1" x14ac:dyDescent="0.3"/>
    <row r="113" spans="2:25" ht="14.4" customHeight="1" x14ac:dyDescent="0.3"/>
    <row r="114" spans="2:25" ht="14.4" customHeight="1" x14ac:dyDescent="0.3"/>
    <row r="115" spans="2:25" ht="14.4" customHeight="1" x14ac:dyDescent="0.3"/>
    <row r="116" spans="2:25" ht="14.4" customHeight="1" x14ac:dyDescent="0.3"/>
    <row r="117" spans="2:25" ht="14.4" customHeight="1" x14ac:dyDescent="0.3"/>
    <row r="118" spans="2:25" ht="14.4" customHeight="1" x14ac:dyDescent="0.3"/>
    <row r="119" spans="2:25" ht="14.4" customHeight="1" x14ac:dyDescent="0.3"/>
    <row r="120" spans="2:25" ht="14.4" customHeight="1" x14ac:dyDescent="0.3"/>
    <row r="121" spans="2:25" ht="14.4" customHeight="1" x14ac:dyDescent="0.3"/>
    <row r="122" spans="2:25" ht="14.4" customHeight="1" x14ac:dyDescent="0.3"/>
    <row r="123" spans="2:25" ht="14.4" customHeight="1" x14ac:dyDescent="0.3"/>
    <row r="124" spans="2:25" ht="14.4" customHeight="1" x14ac:dyDescent="0.3">
      <c r="B124" s="109" t="s">
        <v>188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</row>
    <row r="125" spans="2:25" ht="14.4" customHeight="1" x14ac:dyDescent="0.3"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</row>
    <row r="126" spans="2:25" ht="14.4" customHeight="1" x14ac:dyDescent="0.3"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</row>
    <row r="127" spans="2:25" ht="14.4" customHeight="1" x14ac:dyDescent="0.3"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</row>
    <row r="128" spans="2:25" ht="14.4" customHeight="1" x14ac:dyDescent="0.3"/>
    <row r="129" spans="2:25" ht="14.4" customHeight="1" x14ac:dyDescent="0.3">
      <c r="B129" s="109" t="s">
        <v>302</v>
      </c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</row>
    <row r="130" spans="2:25" ht="14.4" customHeight="1" x14ac:dyDescent="0.3"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</row>
    <row r="131" spans="2:25" ht="14.4" customHeight="1" x14ac:dyDescent="0.3"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</row>
    <row r="132" spans="2:25" ht="14.4" customHeight="1" x14ac:dyDescent="0.3"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</row>
    <row r="133" spans="2:25" ht="14.4" customHeight="1" x14ac:dyDescent="0.3"/>
    <row r="134" spans="2:25" ht="14.4" customHeight="1" x14ac:dyDescent="0.3"/>
    <row r="135" spans="2:25" ht="14.4" customHeight="1" x14ac:dyDescent="0.3"/>
    <row r="136" spans="2:25" ht="14.4" customHeight="1" x14ac:dyDescent="0.3"/>
    <row r="137" spans="2:25" ht="14.4" customHeight="1" x14ac:dyDescent="0.3"/>
    <row r="138" spans="2:25" ht="14.4" customHeight="1" x14ac:dyDescent="0.3"/>
    <row r="139" spans="2:25" ht="14.4" customHeight="1" x14ac:dyDescent="0.3"/>
    <row r="140" spans="2:25" ht="14.4" customHeight="1" x14ac:dyDescent="0.3"/>
    <row r="141" spans="2:25" ht="14.4" customHeight="1" x14ac:dyDescent="0.3"/>
    <row r="142" spans="2:25" ht="14.4" customHeight="1" x14ac:dyDescent="0.3"/>
    <row r="143" spans="2:25" ht="14.4" customHeight="1" x14ac:dyDescent="0.3"/>
    <row r="144" spans="2:25" ht="14.4" customHeight="1" x14ac:dyDescent="0.3"/>
    <row r="145" spans="2:25" ht="14.4" customHeight="1" x14ac:dyDescent="0.3"/>
    <row r="146" spans="2:25" ht="14.4" customHeight="1" x14ac:dyDescent="0.3"/>
    <row r="147" spans="2:25" ht="14.4" customHeight="1" x14ac:dyDescent="0.3"/>
    <row r="148" spans="2:25" ht="14.4" customHeight="1" x14ac:dyDescent="0.3"/>
    <row r="149" spans="2:25" ht="14.4" customHeight="1" x14ac:dyDescent="0.3"/>
    <row r="150" spans="2:25" ht="14.4" customHeight="1" x14ac:dyDescent="0.3"/>
    <row r="151" spans="2:25" ht="14.4" customHeight="1" x14ac:dyDescent="0.3"/>
    <row r="152" spans="2:25" ht="14.4" customHeight="1" x14ac:dyDescent="0.3"/>
    <row r="153" spans="2:25" ht="14.4" customHeight="1" x14ac:dyDescent="0.3">
      <c r="B153" s="109" t="s">
        <v>305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</row>
    <row r="154" spans="2:25" ht="14.4" customHeight="1" x14ac:dyDescent="0.3"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</row>
    <row r="155" spans="2:25" ht="14.4" customHeight="1" x14ac:dyDescent="0.3"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</row>
    <row r="156" spans="2:25" ht="14.4" customHeight="1" x14ac:dyDescent="0.3"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</row>
    <row r="157" spans="2:25" ht="14.4" customHeight="1" x14ac:dyDescent="0.3"/>
    <row r="158" spans="2:25" ht="14.4" customHeight="1" x14ac:dyDescent="0.3"/>
    <row r="159" spans="2:25" ht="14.4" customHeight="1" x14ac:dyDescent="0.3"/>
    <row r="160" spans="2:25" ht="14.4" customHeight="1" x14ac:dyDescent="0.3"/>
    <row r="161" ht="14.4" customHeight="1" x14ac:dyDescent="0.3"/>
    <row r="162" ht="14.4" customHeight="1" x14ac:dyDescent="0.3"/>
    <row r="163" ht="14.4" customHeight="1" x14ac:dyDescent="0.3"/>
    <row r="164" ht="14.4" customHeight="1" x14ac:dyDescent="0.3"/>
    <row r="165" ht="14.4" customHeight="1" x14ac:dyDescent="0.3"/>
    <row r="166" ht="14.4" customHeight="1" x14ac:dyDescent="0.3"/>
    <row r="167" ht="14.4" customHeight="1" x14ac:dyDescent="0.3"/>
    <row r="168" ht="14.4" customHeight="1" x14ac:dyDescent="0.3"/>
    <row r="169" ht="14.4" customHeight="1" x14ac:dyDescent="0.3"/>
    <row r="170" ht="14.4" customHeight="1" x14ac:dyDescent="0.3"/>
  </sheetData>
  <sheetProtection algorithmName="SHA-512" hashValue="lKFTZ8Zt934dQxpbnyLitp/5GT1nqt1we98eWlXmsHJUyG7aWIHR62ufL4aUliWjwi+THXwUM+8MWlnr3gdbaQ==" saltValue="0MnGWYBFszpP5bCl7Ffu4A==" spinCount="100000" sheet="1" objects="1" scenarios="1" selectLockedCells="1"/>
  <mergeCells count="14">
    <mergeCell ref="B129:Y132"/>
    <mergeCell ref="B153:Y156"/>
    <mergeCell ref="B124:Y127"/>
    <mergeCell ref="K5:O6"/>
    <mergeCell ref="E10:G11"/>
    <mergeCell ref="I10:K11"/>
    <mergeCell ref="M10:O11"/>
    <mergeCell ref="B104:Y107"/>
    <mergeCell ref="B42:Y43"/>
    <mergeCell ref="B55:Y56"/>
    <mergeCell ref="B59:Y62"/>
    <mergeCell ref="B83:Y86"/>
    <mergeCell ref="B94:Y97"/>
    <mergeCell ref="B48:Y51"/>
  </mergeCells>
  <hyperlinks>
    <hyperlink ref="M10:O11" location="REFERENCIAS!A1" display="REFERENCIAS" xr:uid="{DB1DA7F4-244E-4492-B6CD-79CB246970D7}"/>
    <hyperlink ref="I10:K11" location="DIMENSIONAMENTO!A1" display="DIMENSIONAR" xr:uid="{4730D351-9C26-45AB-A00E-3593D58FF2E0}"/>
    <hyperlink ref="E10:G11" location="'BOMBA DE CALOR'!A1" display="INICIO" xr:uid="{1BB3C31F-DC01-4E96-BBDD-D3A73D7C389F}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7DCCB-B65D-408F-B76B-F988D48FFA9D}">
  <sheetPr codeName="Planilha6">
    <tabColor theme="4"/>
  </sheetPr>
  <dimension ref="A1:J88"/>
  <sheetViews>
    <sheetView showGridLines="0" showRowColHeaders="0" workbookViewId="0">
      <selection activeCell="G75" sqref="G75:I75"/>
    </sheetView>
  </sheetViews>
  <sheetFormatPr defaultColWidth="0" defaultRowHeight="14.4" zeroHeight="1" x14ac:dyDescent="0.3"/>
  <cols>
    <col min="1" max="4" width="8.88671875" customWidth="1"/>
    <col min="5" max="5" width="10.33203125" bestFit="1" customWidth="1"/>
    <col min="6" max="7" width="8.88671875" customWidth="1"/>
    <col min="8" max="8" width="9.5546875" bestFit="1" customWidth="1"/>
    <col min="9" max="10" width="8.88671875" customWidth="1"/>
    <col min="11" max="16384" width="8.88671875" hidden="1"/>
  </cols>
  <sheetData>
    <row r="1" spans="1:10" x14ac:dyDescent="0.3"/>
    <row r="2" spans="1:10" x14ac:dyDescent="0.3"/>
    <row r="3" spans="1:10" x14ac:dyDescent="0.3"/>
    <row r="4" spans="1:10" x14ac:dyDescent="0.3"/>
    <row r="5" spans="1:10" x14ac:dyDescent="0.3"/>
    <row r="6" spans="1:10" x14ac:dyDescent="0.3"/>
    <row r="7" spans="1:10" x14ac:dyDescent="0.3"/>
    <row r="8" spans="1:10" ht="4.95" customHeight="1" x14ac:dyDescent="0.3">
      <c r="A8" s="54"/>
      <c r="B8" s="54"/>
      <c r="C8" s="54"/>
      <c r="D8" s="54"/>
      <c r="E8" s="54"/>
      <c r="F8" s="54"/>
      <c r="G8" s="54"/>
      <c r="H8" s="54"/>
      <c r="I8" s="54"/>
      <c r="J8" s="54"/>
    </row>
    <row r="9" spans="1:10" x14ac:dyDescent="0.3"/>
    <row r="10" spans="1:10" x14ac:dyDescent="0.3"/>
    <row r="11" spans="1:10" x14ac:dyDescent="0.3"/>
    <row r="12" spans="1:10" x14ac:dyDescent="0.3"/>
    <row r="13" spans="1:10" x14ac:dyDescent="0.3">
      <c r="G13" s="47" t="str">
        <f>DADOS!A42</f>
        <v>-</v>
      </c>
    </row>
    <row r="14" spans="1:10" x14ac:dyDescent="0.3">
      <c r="A14" s="141" t="s">
        <v>195</v>
      </c>
      <c r="B14" s="141"/>
      <c r="C14" s="141"/>
      <c r="D14" s="141"/>
      <c r="E14" s="141"/>
      <c r="F14" s="142"/>
      <c r="G14" s="58" t="s">
        <v>166</v>
      </c>
      <c r="H14" s="131" t="e">
        <f>HLOOKUP($G$13,DADOS!$AN$1:$AS$22,2,0)</f>
        <v>#N/A</v>
      </c>
      <c r="I14" s="131"/>
      <c r="J14" s="132"/>
    </row>
    <row r="15" spans="1:10" x14ac:dyDescent="0.3">
      <c r="A15" s="143"/>
      <c r="B15" s="143"/>
      <c r="C15" s="143"/>
      <c r="D15" s="143"/>
      <c r="E15" s="143"/>
      <c r="F15" s="144"/>
      <c r="G15" s="73" t="s">
        <v>190</v>
      </c>
      <c r="H15" s="131" t="e">
        <f>HLOOKUP($G$13,DADOS!$AN$1:$AS$22,3,0)</f>
        <v>#N/A</v>
      </c>
      <c r="I15" s="131"/>
      <c r="J15" s="132"/>
    </row>
    <row r="16" spans="1:10" x14ac:dyDescent="0.3">
      <c r="A16" s="137" t="s">
        <v>193</v>
      </c>
      <c r="B16" s="137"/>
      <c r="C16" s="137"/>
      <c r="D16" s="137"/>
      <c r="E16" s="137"/>
      <c r="F16" s="138"/>
      <c r="G16" s="73" t="s">
        <v>191</v>
      </c>
      <c r="H16" s="131" t="e">
        <f>HLOOKUP($G$13,DADOS!$AN$1:$AS$22,4,0)</f>
        <v>#N/A</v>
      </c>
      <c r="I16" s="131"/>
      <c r="J16" s="132"/>
    </row>
    <row r="17" spans="1:10" x14ac:dyDescent="0.3">
      <c r="A17" s="137" t="s">
        <v>192</v>
      </c>
      <c r="B17" s="137"/>
      <c r="C17" s="137"/>
      <c r="D17" s="137"/>
      <c r="E17" s="137"/>
      <c r="F17" s="138"/>
      <c r="G17" s="73"/>
      <c r="H17" s="131" t="e">
        <f>HLOOKUP($G$13,DADOS!$AN$1:$AS$22,5,0)</f>
        <v>#N/A</v>
      </c>
      <c r="I17" s="131"/>
      <c r="J17" s="132"/>
    </row>
    <row r="18" spans="1:10" x14ac:dyDescent="0.3">
      <c r="A18" s="143" t="s">
        <v>194</v>
      </c>
      <c r="B18" s="143"/>
      <c r="C18" s="143"/>
      <c r="D18" s="143"/>
      <c r="E18" s="143"/>
      <c r="F18" s="144"/>
      <c r="G18" s="58" t="s">
        <v>166</v>
      </c>
      <c r="H18" s="131" t="e">
        <f>HLOOKUP($G$13,DADOS!$AN$1:$AS$22,6,0)</f>
        <v>#N/A</v>
      </c>
      <c r="I18" s="131"/>
      <c r="J18" s="132"/>
    </row>
    <row r="19" spans="1:10" x14ac:dyDescent="0.3">
      <c r="A19" s="143"/>
      <c r="B19" s="143"/>
      <c r="C19" s="143"/>
      <c r="D19" s="143"/>
      <c r="E19" s="143"/>
      <c r="F19" s="144"/>
      <c r="G19" s="73" t="s">
        <v>190</v>
      </c>
      <c r="H19" s="131" t="e">
        <f>HLOOKUP($G$13,DADOS!$AN$1:$AS$22,7,0)</f>
        <v>#N/A</v>
      </c>
      <c r="I19" s="131"/>
      <c r="J19" s="132"/>
    </row>
    <row r="20" spans="1:10" x14ac:dyDescent="0.3">
      <c r="A20" s="137" t="s">
        <v>193</v>
      </c>
      <c r="B20" s="137"/>
      <c r="C20" s="137"/>
      <c r="D20" s="137"/>
      <c r="E20" s="137"/>
      <c r="F20" s="138"/>
      <c r="G20" s="73" t="s">
        <v>191</v>
      </c>
      <c r="H20" s="131" t="e">
        <f>HLOOKUP($G$13,DADOS!$AN$1:$AS$22,8,0)</f>
        <v>#N/A</v>
      </c>
      <c r="I20" s="131"/>
      <c r="J20" s="132"/>
    </row>
    <row r="21" spans="1:10" x14ac:dyDescent="0.3">
      <c r="A21" s="137" t="s">
        <v>192</v>
      </c>
      <c r="B21" s="137"/>
      <c r="C21" s="137"/>
      <c r="D21" s="137"/>
      <c r="E21" s="137"/>
      <c r="F21" s="138"/>
      <c r="G21" s="73"/>
      <c r="H21" s="131" t="e">
        <f>HLOOKUP($G$13,DADOS!$AN$1:$AS$22,9,0)</f>
        <v>#N/A</v>
      </c>
      <c r="I21" s="131"/>
      <c r="J21" s="132"/>
    </row>
    <row r="22" spans="1:10" x14ac:dyDescent="0.3">
      <c r="A22" s="137" t="s">
        <v>196</v>
      </c>
      <c r="B22" s="137"/>
      <c r="C22" s="137"/>
      <c r="D22" s="137"/>
      <c r="E22" s="137"/>
      <c r="F22" s="138"/>
      <c r="G22" s="73"/>
      <c r="H22" s="131" t="e">
        <f>HLOOKUP($G$13,DADOS!$AN$1:$AS$22,10,0)</f>
        <v>#N/A</v>
      </c>
      <c r="I22" s="131"/>
      <c r="J22" s="132"/>
    </row>
    <row r="23" spans="1:10" x14ac:dyDescent="0.3">
      <c r="A23" s="137" t="s">
        <v>197</v>
      </c>
      <c r="B23" s="137"/>
      <c r="C23" s="137"/>
      <c r="D23" s="137"/>
      <c r="E23" s="137"/>
      <c r="F23" s="138"/>
      <c r="G23" s="73"/>
      <c r="H23" s="131" t="e">
        <f>HLOOKUP($G$13,DADOS!$AN$1:$AS$22,11,0)</f>
        <v>#N/A</v>
      </c>
      <c r="I23" s="131"/>
      <c r="J23" s="132"/>
    </row>
    <row r="24" spans="1:10" x14ac:dyDescent="0.3">
      <c r="A24" s="137" t="s">
        <v>198</v>
      </c>
      <c r="B24" s="137"/>
      <c r="C24" s="137"/>
      <c r="D24" s="137"/>
      <c r="E24" s="137"/>
      <c r="F24" s="138"/>
      <c r="G24" s="74"/>
      <c r="H24" s="131" t="e">
        <f>HLOOKUP($G$13,DADOS!$AN$1:$AS$22,12,0)</f>
        <v>#N/A</v>
      </c>
      <c r="I24" s="131"/>
      <c r="J24" s="132"/>
    </row>
    <row r="25" spans="1:10" x14ac:dyDescent="0.3">
      <c r="A25" s="137" t="s">
        <v>199</v>
      </c>
      <c r="B25" s="137"/>
      <c r="C25" s="137"/>
      <c r="D25" s="137"/>
      <c r="E25" s="137"/>
      <c r="F25" s="138"/>
      <c r="G25" s="74"/>
      <c r="H25" s="131" t="e">
        <f>HLOOKUP($G$13,DADOS!$AN$1:$AS$22,13,0)</f>
        <v>#N/A</v>
      </c>
      <c r="I25" s="131"/>
      <c r="J25" s="132"/>
    </row>
    <row r="26" spans="1:10" x14ac:dyDescent="0.3">
      <c r="A26" s="137" t="s">
        <v>200</v>
      </c>
      <c r="B26" s="137"/>
      <c r="C26" s="137"/>
      <c r="D26" s="137"/>
      <c r="E26" s="137"/>
      <c r="F26" s="138"/>
      <c r="G26" s="74" t="s">
        <v>208</v>
      </c>
      <c r="H26" s="131" t="e">
        <f>HLOOKUP($G$13,DADOS!$AN$1:$AS$22,14,0)</f>
        <v>#N/A</v>
      </c>
      <c r="I26" s="131"/>
      <c r="J26" s="132"/>
    </row>
    <row r="27" spans="1:10" x14ac:dyDescent="0.3">
      <c r="A27" s="137" t="s">
        <v>201</v>
      </c>
      <c r="B27" s="137"/>
      <c r="C27" s="137"/>
      <c r="D27" s="137"/>
      <c r="E27" s="137"/>
      <c r="F27" s="138"/>
      <c r="G27" s="74" t="s">
        <v>209</v>
      </c>
      <c r="H27" s="131" t="e">
        <f>HLOOKUP($G$13,DADOS!$AN$1:$AS$22,15,0)</f>
        <v>#N/A</v>
      </c>
      <c r="I27" s="131"/>
      <c r="J27" s="132"/>
    </row>
    <row r="28" spans="1:10" x14ac:dyDescent="0.3">
      <c r="A28" s="137" t="s">
        <v>202</v>
      </c>
      <c r="B28" s="137"/>
      <c r="C28" s="137"/>
      <c r="D28" s="137"/>
      <c r="E28" s="137"/>
      <c r="F28" s="138"/>
      <c r="G28" s="74" t="s">
        <v>210</v>
      </c>
      <c r="H28" s="131" t="e">
        <f>HLOOKUP($G$13,DADOS!$AN$1:$AS$22,16,0)</f>
        <v>#N/A</v>
      </c>
      <c r="I28" s="131"/>
      <c r="J28" s="132"/>
    </row>
    <row r="29" spans="1:10" x14ac:dyDescent="0.3">
      <c r="A29" s="137" t="s">
        <v>203</v>
      </c>
      <c r="B29" s="137"/>
      <c r="C29" s="137"/>
      <c r="D29" s="137"/>
      <c r="E29" s="137"/>
      <c r="F29" s="138"/>
      <c r="G29" s="74" t="s">
        <v>211</v>
      </c>
      <c r="H29" s="131" t="e">
        <f>HLOOKUP($G$13,DADOS!$AN$1:$AS$22,17,0)</f>
        <v>#N/A</v>
      </c>
      <c r="I29" s="131"/>
      <c r="J29" s="132"/>
    </row>
    <row r="30" spans="1:10" x14ac:dyDescent="0.3">
      <c r="A30" s="137" t="s">
        <v>204</v>
      </c>
      <c r="B30" s="137"/>
      <c r="C30" s="137"/>
      <c r="D30" s="137"/>
      <c r="E30" s="137"/>
      <c r="F30" s="138"/>
      <c r="G30" s="74" t="s">
        <v>212</v>
      </c>
      <c r="H30" s="131" t="e">
        <f>HLOOKUP($G$13,DADOS!$AN$1:$AS$22,18,0)</f>
        <v>#N/A</v>
      </c>
      <c r="I30" s="131"/>
      <c r="J30" s="132"/>
    </row>
    <row r="31" spans="1:10" x14ac:dyDescent="0.3">
      <c r="A31" s="137" t="s">
        <v>214</v>
      </c>
      <c r="B31" s="137"/>
      <c r="C31" s="137"/>
      <c r="D31" s="137"/>
      <c r="E31" s="137"/>
      <c r="F31" s="138"/>
      <c r="G31" s="74" t="s">
        <v>210</v>
      </c>
      <c r="H31" s="131" t="e">
        <f>HLOOKUP($G$13,DADOS!$AN$1:$AS$22,19,0)</f>
        <v>#N/A</v>
      </c>
      <c r="I31" s="131"/>
      <c r="J31" s="132"/>
    </row>
    <row r="32" spans="1:10" x14ac:dyDescent="0.3">
      <c r="A32" s="137" t="s">
        <v>205</v>
      </c>
      <c r="B32" s="137"/>
      <c r="C32" s="137"/>
      <c r="D32" s="137"/>
      <c r="E32" s="137"/>
      <c r="F32" s="138"/>
      <c r="G32" s="74" t="s">
        <v>210</v>
      </c>
      <c r="H32" s="131" t="e">
        <f>HLOOKUP($G$13,DADOS!$AN$1:$AS$22,20,0)</f>
        <v>#N/A</v>
      </c>
      <c r="I32" s="131"/>
      <c r="J32" s="132"/>
    </row>
    <row r="33" spans="1:10" x14ac:dyDescent="0.3">
      <c r="A33" s="137" t="s">
        <v>206</v>
      </c>
      <c r="B33" s="137"/>
      <c r="C33" s="137"/>
      <c r="D33" s="137"/>
      <c r="E33" s="137"/>
      <c r="F33" s="138"/>
      <c r="G33" s="74" t="s">
        <v>213</v>
      </c>
      <c r="H33" s="131" t="e">
        <f>HLOOKUP($G$13,DADOS!$AN$1:$AS$22,21,0)</f>
        <v>#N/A</v>
      </c>
      <c r="I33" s="131"/>
      <c r="J33" s="132"/>
    </row>
    <row r="34" spans="1:10" x14ac:dyDescent="0.3">
      <c r="A34" s="139" t="s">
        <v>207</v>
      </c>
      <c r="B34" s="139"/>
      <c r="C34" s="139"/>
      <c r="D34" s="139"/>
      <c r="E34" s="139"/>
      <c r="F34" s="140"/>
      <c r="G34" s="74" t="s">
        <v>213</v>
      </c>
      <c r="H34" s="131" t="e">
        <f>HLOOKUP($G$13,DADOS!$AN$1:$AS$22,22,0)</f>
        <v>#N/A</v>
      </c>
      <c r="I34" s="131"/>
      <c r="J34" s="132"/>
    </row>
    <row r="35" spans="1:10" x14ac:dyDescent="0.3"/>
    <row r="36" spans="1:10" x14ac:dyDescent="0.3"/>
    <row r="37" spans="1:10" x14ac:dyDescent="0.3"/>
    <row r="38" spans="1:10" x14ac:dyDescent="0.3"/>
    <row r="39" spans="1:10" x14ac:dyDescent="0.3"/>
    <row r="40" spans="1:10" x14ac:dyDescent="0.3"/>
    <row r="41" spans="1:10" x14ac:dyDescent="0.3"/>
    <row r="42" spans="1:10" x14ac:dyDescent="0.3"/>
    <row r="43" spans="1:10" x14ac:dyDescent="0.3"/>
    <row r="44" spans="1:10" x14ac:dyDescent="0.3">
      <c r="A44" s="113" t="s">
        <v>301</v>
      </c>
      <c r="B44" s="113"/>
      <c r="C44" s="113"/>
      <c r="D44" s="113"/>
      <c r="E44" s="113"/>
      <c r="F44" s="113"/>
      <c r="G44" s="113"/>
      <c r="H44" s="113"/>
      <c r="I44" s="113"/>
      <c r="J44" s="113"/>
    </row>
    <row r="45" spans="1:10" x14ac:dyDescent="0.3"/>
    <row r="46" spans="1:10" x14ac:dyDescent="0.3"/>
    <row r="47" spans="1:10" x14ac:dyDescent="0.3"/>
    <row r="48" spans="1:10" x14ac:dyDescent="0.3"/>
    <row r="49" spans="1:10" x14ac:dyDescent="0.3"/>
    <row r="50" spans="1:10" x14ac:dyDescent="0.3"/>
    <row r="51" spans="1:10" x14ac:dyDescent="0.3"/>
    <row r="52" spans="1:10" ht="4.95" customHeight="1" x14ac:dyDescent="0.3">
      <c r="A52" s="54"/>
      <c r="B52" s="54"/>
      <c r="C52" s="54"/>
      <c r="D52" s="54"/>
      <c r="E52" s="54"/>
      <c r="F52" s="54"/>
      <c r="G52" s="54"/>
      <c r="H52" s="54"/>
      <c r="I52" s="54"/>
      <c r="J52" s="54"/>
    </row>
    <row r="53" spans="1:10" x14ac:dyDescent="0.3"/>
    <row r="54" spans="1:10" x14ac:dyDescent="0.3"/>
    <row r="55" spans="1:10" x14ac:dyDescent="0.3"/>
    <row r="56" spans="1:10" x14ac:dyDescent="0.3"/>
    <row r="57" spans="1:10" x14ac:dyDescent="0.3"/>
    <row r="58" spans="1:10" x14ac:dyDescent="0.3">
      <c r="D58" s="133" t="str">
        <f>DADOS!B4&amp;"m³"</f>
        <v>0m³</v>
      </c>
      <c r="E58" s="133"/>
      <c r="H58" s="133" t="str">
        <f>DIMENSIONAMENTO!$I$28-DIMENSIONAMENTO!$I$26&amp;"°C"</f>
        <v>0°C</v>
      </c>
      <c r="I58" s="133"/>
    </row>
    <row r="59" spans="1:10" x14ac:dyDescent="0.3"/>
    <row r="60" spans="1:10" x14ac:dyDescent="0.3">
      <c r="D60" s="75" t="s">
        <v>279</v>
      </c>
      <c r="E60" s="50" t="str">
        <f>IF(OR(DIMENSIONAMENTO!$E$37&lt;&gt;"",DIMENSIONAMENTO!$C$26=""),"",DIMENSIONAMENTO!$C$26)</f>
        <v/>
      </c>
      <c r="H60" s="76" t="s">
        <v>282</v>
      </c>
      <c r="I60" s="50" t="str">
        <f>DIMENSIONAMENTO!I26&amp;"°C"</f>
        <v>°C</v>
      </c>
    </row>
    <row r="61" spans="1:10" x14ac:dyDescent="0.3">
      <c r="D61" s="75" t="s">
        <v>280</v>
      </c>
      <c r="E61" s="51" t="str">
        <f>IF(OR(DIMENSIONAMENTO!$E$37&lt;&gt;"",DIMENSIONAMENTO!$C$26=""),"",DIMENSIONAMENTO!$C$28)</f>
        <v/>
      </c>
      <c r="H61" s="76" t="s">
        <v>283</v>
      </c>
      <c r="I61" s="51" t="str">
        <f>DIMENSIONAMENTO!I28&amp;"°C"</f>
        <v>°C</v>
      </c>
    </row>
    <row r="62" spans="1:10" x14ac:dyDescent="0.3">
      <c r="D62" s="75" t="s">
        <v>281</v>
      </c>
      <c r="E62" s="52" t="str">
        <f>IF(OR(DIMENSIONAMENTO!$E$37&lt;&gt;"",DIMENSIONAMENTO!$C$26=""),"",DIMENSIONAMENTO!$C$30)</f>
        <v/>
      </c>
      <c r="H62" s="76" t="s">
        <v>284</v>
      </c>
      <c r="I62" s="52" t="str">
        <f>DIMENSIONAMENTO!I35&amp;"°C"</f>
        <v>°C</v>
      </c>
    </row>
    <row r="63" spans="1:10" x14ac:dyDescent="0.3"/>
    <row r="64" spans="1:10" x14ac:dyDescent="0.3"/>
    <row r="65" spans="1:9" x14ac:dyDescent="0.3">
      <c r="D65" s="128" t="s">
        <v>4</v>
      </c>
      <c r="E65" s="129"/>
      <c r="F65" s="129"/>
      <c r="G65" s="134" t="str">
        <f>DIMENSIONAMENTO!O26</f>
        <v>NÃO</v>
      </c>
      <c r="H65" s="134"/>
    </row>
    <row r="66" spans="1:9" x14ac:dyDescent="0.3">
      <c r="D66" s="128" t="s">
        <v>143</v>
      </c>
      <c r="E66" s="129"/>
      <c r="F66" s="129"/>
      <c r="G66" s="135" t="str">
        <f>DIMENSIONAMENTO!O28</f>
        <v>NÃO</v>
      </c>
      <c r="H66" s="135"/>
    </row>
    <row r="67" spans="1:9" x14ac:dyDescent="0.3">
      <c r="D67" s="128" t="s">
        <v>6</v>
      </c>
      <c r="E67" s="129"/>
      <c r="F67" s="129"/>
      <c r="G67" s="135" t="str">
        <f>DIMENSIONAMENTO!O30</f>
        <v>NÃO</v>
      </c>
      <c r="H67" s="135"/>
    </row>
    <row r="68" spans="1:9" x14ac:dyDescent="0.3">
      <c r="D68" s="128" t="s">
        <v>7</v>
      </c>
      <c r="E68" s="129"/>
      <c r="F68" s="129"/>
      <c r="G68" s="135" t="str">
        <f>DIMENSIONAMENTO!O32</f>
        <v>NÃO</v>
      </c>
      <c r="H68" s="135"/>
    </row>
    <row r="69" spans="1:9" x14ac:dyDescent="0.3">
      <c r="D69" s="128" t="s">
        <v>286</v>
      </c>
      <c r="E69" s="129"/>
      <c r="F69" s="129"/>
      <c r="G69" s="136" t="str">
        <f>DIMENSIONAMENTO!O40</f>
        <v>SEM VENTO</v>
      </c>
      <c r="H69" s="136"/>
    </row>
    <row r="70" spans="1:9" x14ac:dyDescent="0.3"/>
    <row r="71" spans="1:9" x14ac:dyDescent="0.3">
      <c r="D71" s="128" t="s">
        <v>285</v>
      </c>
      <c r="E71" s="129"/>
      <c r="F71" s="129"/>
      <c r="G71" s="130" t="str">
        <f>DIMENSIONAMENTO!O38&amp;"h"</f>
        <v>24h</v>
      </c>
      <c r="H71" s="130"/>
    </row>
    <row r="72" spans="1:9" x14ac:dyDescent="0.3"/>
    <row r="73" spans="1:9" x14ac:dyDescent="0.3">
      <c r="A73" s="53"/>
    </row>
    <row r="74" spans="1:9" x14ac:dyDescent="0.3">
      <c r="A74" s="117" t="s">
        <v>153</v>
      </c>
      <c r="B74" s="118"/>
      <c r="C74" s="59" t="s">
        <v>191</v>
      </c>
      <c r="D74" s="127" t="s">
        <v>167</v>
      </c>
      <c r="E74" s="117"/>
      <c r="G74" s="119" t="s">
        <v>299</v>
      </c>
      <c r="H74" s="119"/>
      <c r="I74" s="119"/>
    </row>
    <row r="75" spans="1:9" x14ac:dyDescent="0.3">
      <c r="A75" s="67" t="s">
        <v>154</v>
      </c>
      <c r="B75" s="68"/>
      <c r="C75" s="66" t="e">
        <f>IF($G$75="DIÁRIO",DADOS!AC3,DADOS!AG3)</f>
        <v>#DIV/0!</v>
      </c>
      <c r="D75" s="114" t="e">
        <f>IF($G$75="DIÁRIO",DADOS!AD3,DADOS!AH3)</f>
        <v>#DIV/0!</v>
      </c>
      <c r="E75" s="114"/>
      <c r="G75" s="120" t="s">
        <v>306</v>
      </c>
      <c r="H75" s="121"/>
      <c r="I75" s="122"/>
    </row>
    <row r="76" spans="1:9" x14ac:dyDescent="0.3">
      <c r="A76" s="69" t="s">
        <v>155</v>
      </c>
      <c r="B76" s="70"/>
      <c r="C76" s="66" t="e">
        <f>IF($G$75="DIÁRIO",DADOS!AC4,DADOS!AG4)</f>
        <v>#DIV/0!</v>
      </c>
      <c r="D76" s="114" t="e">
        <f>IF($G$75="DIÁRIO",DADOS!AD4,DADOS!AH4)</f>
        <v>#DIV/0!</v>
      </c>
      <c r="E76" s="114"/>
    </row>
    <row r="77" spans="1:9" x14ac:dyDescent="0.3">
      <c r="A77" s="69" t="s">
        <v>156</v>
      </c>
      <c r="B77" s="70"/>
      <c r="C77" s="66" t="e">
        <f>IF($G$75="DIÁRIO",DADOS!AC5,DADOS!AG5)</f>
        <v>#DIV/0!</v>
      </c>
      <c r="D77" s="114" t="e">
        <f>IF($G$75="DIÁRIO",DADOS!AD5,DADOS!AH5)</f>
        <v>#DIV/0!</v>
      </c>
      <c r="E77" s="114"/>
      <c r="G77" s="119" t="s">
        <v>298</v>
      </c>
      <c r="H77" s="119"/>
      <c r="I77" s="119"/>
    </row>
    <row r="78" spans="1:9" x14ac:dyDescent="0.3">
      <c r="A78" s="69" t="s">
        <v>157</v>
      </c>
      <c r="B78" s="70"/>
      <c r="C78" s="66" t="e">
        <f>IF($G$75="DIÁRIO",DADOS!AC6,DADOS!AG6)</f>
        <v>#DIV/0!</v>
      </c>
      <c r="D78" s="114" t="e">
        <f>IF($G$75="DIÁRIO",DADOS!AD6,DADOS!AH6)</f>
        <v>#DIV/0!</v>
      </c>
      <c r="E78" s="114"/>
      <c r="G78" s="120">
        <v>18</v>
      </c>
      <c r="H78" s="121"/>
      <c r="I78" s="122"/>
    </row>
    <row r="79" spans="1:9" x14ac:dyDescent="0.3">
      <c r="A79" s="69" t="s">
        <v>158</v>
      </c>
      <c r="B79" s="70"/>
      <c r="C79" s="66" t="e">
        <f>IF($G$75="DIÁRIO",DADOS!AC7,DADOS!AG7)</f>
        <v>#DIV/0!</v>
      </c>
      <c r="D79" s="114" t="e">
        <f>IF($G$75="DIÁRIO",DADOS!AD7,DADOS!AH7)</f>
        <v>#DIV/0!</v>
      </c>
      <c r="E79" s="114"/>
    </row>
    <row r="80" spans="1:9" x14ac:dyDescent="0.3">
      <c r="A80" s="69" t="s">
        <v>159</v>
      </c>
      <c r="B80" s="70"/>
      <c r="C80" s="66" t="e">
        <f>IF($G$75="DIÁRIO",DADOS!AC8,DADOS!AG8)</f>
        <v>#DIV/0!</v>
      </c>
      <c r="D80" s="114" t="e">
        <f>IF($G$75="DIÁRIO",DADOS!AD8,DADOS!AH8)</f>
        <v>#DIV/0!</v>
      </c>
      <c r="E80" s="114"/>
      <c r="G80" s="119" t="s">
        <v>300</v>
      </c>
      <c r="H80" s="119"/>
      <c r="I80" s="119"/>
    </row>
    <row r="81" spans="1:10" x14ac:dyDescent="0.3">
      <c r="A81" s="69" t="s">
        <v>160</v>
      </c>
      <c r="B81" s="70"/>
      <c r="C81" s="66" t="e">
        <f>IF($G$75="DIÁRIO",DADOS!AC9,DADOS!AG9)</f>
        <v>#DIV/0!</v>
      </c>
      <c r="D81" s="114" t="e">
        <f>IF($G$75="DIÁRIO",DADOS!AD9,DADOS!AH9)</f>
        <v>#DIV/0!</v>
      </c>
      <c r="E81" s="114"/>
      <c r="G81" s="123">
        <v>0.89</v>
      </c>
      <c r="H81" s="124"/>
      <c r="I81" s="125"/>
    </row>
    <row r="82" spans="1:10" x14ac:dyDescent="0.3">
      <c r="A82" s="69" t="s">
        <v>161</v>
      </c>
      <c r="B82" s="70"/>
      <c r="C82" s="66" t="e">
        <f>IF($G$75="DIÁRIO",DADOS!AC10,DADOS!AG10)</f>
        <v>#DIV/0!</v>
      </c>
      <c r="D82" s="114" t="e">
        <f>IF($G$75="DIÁRIO",DADOS!AD10,DADOS!AH10)</f>
        <v>#DIV/0!</v>
      </c>
      <c r="E82" s="114"/>
    </row>
    <row r="83" spans="1:10" x14ac:dyDescent="0.3">
      <c r="A83" s="69" t="s">
        <v>162</v>
      </c>
      <c r="B83" s="70"/>
      <c r="C83" s="66" t="e">
        <f>IF($G$75="DIÁRIO",DADOS!AC11,DADOS!AG11)</f>
        <v>#DIV/0!</v>
      </c>
      <c r="D83" s="114" t="e">
        <f>IF($G$75="DIÁRIO",DADOS!AD11,DADOS!AH11)</f>
        <v>#DIV/0!</v>
      </c>
      <c r="E83" s="114"/>
    </row>
    <row r="84" spans="1:10" x14ac:dyDescent="0.3">
      <c r="A84" s="69" t="s">
        <v>163</v>
      </c>
      <c r="B84" s="70"/>
      <c r="C84" s="66" t="e">
        <f>IF($G$75="DIÁRIO",DADOS!AC12,DADOS!AG12)</f>
        <v>#DIV/0!</v>
      </c>
      <c r="D84" s="114" t="e">
        <f>IF($G$75="DIÁRIO",DADOS!AD12,DADOS!AH12)</f>
        <v>#DIV/0!</v>
      </c>
      <c r="E84" s="114"/>
    </row>
    <row r="85" spans="1:10" x14ac:dyDescent="0.3">
      <c r="A85" s="69" t="s">
        <v>164</v>
      </c>
      <c r="B85" s="70"/>
      <c r="C85" s="66" t="e">
        <f>IF($G$75="DIÁRIO",DADOS!AC13,DADOS!AG13)</f>
        <v>#DIV/0!</v>
      </c>
      <c r="D85" s="114" t="e">
        <f>IF($G$75="DIÁRIO",DADOS!AD13,DADOS!AH13)</f>
        <v>#DIV/0!</v>
      </c>
      <c r="E85" s="114"/>
    </row>
    <row r="86" spans="1:10" x14ac:dyDescent="0.3">
      <c r="A86" s="71" t="s">
        <v>165</v>
      </c>
      <c r="B86" s="72"/>
      <c r="C86" s="66" t="e">
        <f>IF($G$75="DIÁRIO",DADOS!AC14,DADOS!AG14)</f>
        <v>#DIV/0!</v>
      </c>
      <c r="D86" s="114" t="e">
        <f>IF($G$75="DIÁRIO",DADOS!AD14,DADOS!AH14)</f>
        <v>#DIV/0!</v>
      </c>
      <c r="E86" s="114"/>
    </row>
    <row r="87" spans="1:10" x14ac:dyDescent="0.3">
      <c r="A87" s="84" t="s">
        <v>169</v>
      </c>
      <c r="B87" s="126"/>
      <c r="C87" s="115" t="e">
        <f>AVERAGE(D75:D86)</f>
        <v>#DIV/0!</v>
      </c>
      <c r="D87" s="116"/>
      <c r="E87" s="116"/>
    </row>
    <row r="88" spans="1:10" x14ac:dyDescent="0.3">
      <c r="A88" s="113" t="s">
        <v>301</v>
      </c>
      <c r="B88" s="113"/>
      <c r="C88" s="113"/>
      <c r="D88" s="113"/>
      <c r="E88" s="113"/>
      <c r="F88" s="113"/>
      <c r="G88" s="113"/>
      <c r="H88" s="113"/>
      <c r="I88" s="113"/>
      <c r="J88" s="113"/>
    </row>
  </sheetData>
  <sheetProtection algorithmName="SHA-512" hashValue="ylur4jTG9XBqzbXdKjhMHu2bDACtL3YF+hYRR1zWA8W5Vt2iUOgdFtgm+F/ymY03xD0qVPxfiw0nk6vfTwVnqw==" saltValue="KNF0ax+xrCi5xvYU6IenfA==" spinCount="100000" sheet="1" objects="1" scenarios="1" selectLockedCells="1" autoFilter="0"/>
  <mergeCells count="78">
    <mergeCell ref="A25:F25"/>
    <mergeCell ref="A14:F15"/>
    <mergeCell ref="A16:F16"/>
    <mergeCell ref="A17:F17"/>
    <mergeCell ref="A18:F19"/>
    <mergeCell ref="A20:F20"/>
    <mergeCell ref="A21:F21"/>
    <mergeCell ref="A22:F22"/>
    <mergeCell ref="A23:F23"/>
    <mergeCell ref="A24:F24"/>
    <mergeCell ref="A32:F32"/>
    <mergeCell ref="A33:F33"/>
    <mergeCell ref="A34:F34"/>
    <mergeCell ref="H14:J14"/>
    <mergeCell ref="H15:J15"/>
    <mergeCell ref="H16:J16"/>
    <mergeCell ref="H17:J17"/>
    <mergeCell ref="H18:J18"/>
    <mergeCell ref="H19:J19"/>
    <mergeCell ref="H20:J20"/>
    <mergeCell ref="A26:F26"/>
    <mergeCell ref="A27:F27"/>
    <mergeCell ref="A28:F28"/>
    <mergeCell ref="A29:F29"/>
    <mergeCell ref="A30:F30"/>
    <mergeCell ref="A31:F31"/>
    <mergeCell ref="H32:J32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H31:J31"/>
    <mergeCell ref="G71:H71"/>
    <mergeCell ref="H33:J33"/>
    <mergeCell ref="H34:J34"/>
    <mergeCell ref="D58:E58"/>
    <mergeCell ref="H58:I58"/>
    <mergeCell ref="D65:F65"/>
    <mergeCell ref="D66:F66"/>
    <mergeCell ref="G65:H65"/>
    <mergeCell ref="G66:H66"/>
    <mergeCell ref="G67:H67"/>
    <mergeCell ref="G68:H68"/>
    <mergeCell ref="G69:H69"/>
    <mergeCell ref="D83:E83"/>
    <mergeCell ref="D84:E84"/>
    <mergeCell ref="D85:E85"/>
    <mergeCell ref="D67:F67"/>
    <mergeCell ref="D68:F68"/>
    <mergeCell ref="D69:F69"/>
    <mergeCell ref="D71:F71"/>
    <mergeCell ref="D78:E78"/>
    <mergeCell ref="D79:E79"/>
    <mergeCell ref="D80:E80"/>
    <mergeCell ref="D81:E81"/>
    <mergeCell ref="D82:E82"/>
    <mergeCell ref="A88:J88"/>
    <mergeCell ref="A44:J44"/>
    <mergeCell ref="D86:E86"/>
    <mergeCell ref="C87:E87"/>
    <mergeCell ref="A74:B74"/>
    <mergeCell ref="G74:I74"/>
    <mergeCell ref="G75:I75"/>
    <mergeCell ref="G77:I77"/>
    <mergeCell ref="G78:I78"/>
    <mergeCell ref="G80:I80"/>
    <mergeCell ref="G81:I81"/>
    <mergeCell ref="A87:B87"/>
    <mergeCell ref="D74:E74"/>
    <mergeCell ref="D75:E75"/>
    <mergeCell ref="D76:E76"/>
    <mergeCell ref="D77:E77"/>
  </mergeCells>
  <conditionalFormatting sqref="A74:E74">
    <cfRule type="expression" dxfId="2" priority="3">
      <formula>$G$75="APENAS FINAIS DE SEMANA"</formula>
    </cfRule>
  </conditionalFormatting>
  <conditionalFormatting sqref="G77:I77">
    <cfRule type="expression" dxfId="1" priority="2">
      <formula>$G$75="DIÁRIO"</formula>
    </cfRule>
  </conditionalFormatting>
  <conditionalFormatting sqref="G78:I78">
    <cfRule type="expression" dxfId="0" priority="1">
      <formula>$G$75="DIÁRIO"</formula>
    </cfRule>
  </conditionalFormatting>
  <dataValidations count="1">
    <dataValidation type="list" allowBlank="1" showInputMessage="1" showErrorMessage="1" sqref="G75:I75" xr:uid="{DB7FBAFB-952B-4E3B-A16D-5ACAE7E2C07C}">
      <formula1>"DIÁRIO,APENAS FINAIS DE SEMANA"</formula1>
    </dataValidation>
  </dataValidations>
  <pageMargins left="0.51181102362204722" right="0.51181102362204722" top="0.78740157480314965" bottom="0.78740157480314965" header="0.31496062992125984" footer="0.31496062992125984"/>
  <pageSetup orientation="portrait" horizontalDpi="360" verticalDpi="360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BOMBA DE CALOR</vt:lpstr>
      <vt:lpstr>DIMENSIONAMENTO</vt:lpstr>
      <vt:lpstr>REFERENCIAS</vt:lpstr>
      <vt:lpstr>AJUDA</vt:lpstr>
      <vt:lpstr>RELATÓRIO</vt:lpstr>
      <vt:lpstr>RELATÓRIO!Area_de_impressao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Barbosa Junior</dc:creator>
  <cp:lastModifiedBy>Orlando Barbosa Junior</cp:lastModifiedBy>
  <cp:lastPrinted>2025-11-25T17:42:05Z</cp:lastPrinted>
  <dcterms:created xsi:type="dcterms:W3CDTF">2025-09-03T20:12:33Z</dcterms:created>
  <dcterms:modified xsi:type="dcterms:W3CDTF">2025-12-03T12:38:01Z</dcterms:modified>
</cp:coreProperties>
</file>